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6" yWindow="95" windowWidth="11248" windowHeight="4999" activeTab="2"/>
  </bookViews>
  <sheets>
    <sheet name="№1" sheetId="1" r:id="rId1"/>
    <sheet name="№2" sheetId="2" r:id="rId2"/>
    <sheet name="№3" sheetId="3" r:id="rId3"/>
    <sheet name="№7" sheetId="4" r:id="rId4"/>
  </sheets>
  <definedNames>
    <definedName name="_xlnm.Print_Titles" localSheetId="0">'№1'!$10:$12</definedName>
    <definedName name="_xlnm.Print_Area" localSheetId="0">'№1'!$A$1:$F$70</definedName>
    <definedName name="_xlnm.Print_Area" localSheetId="1">'№2'!$A$1:$K$88</definedName>
    <definedName name="_xlnm.Print_Area" localSheetId="2">'№3'!$A$1:$K$128</definedName>
    <definedName name="_xlnm.Print_Area" localSheetId="3">'№7'!$A$1:$D$18</definedName>
  </definedNames>
  <calcPr fullCalcOnLoad="1"/>
</workbook>
</file>

<file path=xl/sharedStrings.xml><?xml version="1.0" encoding="utf-8"?>
<sst xmlns="http://schemas.openxmlformats.org/spreadsheetml/2006/main" count="522" uniqueCount="303">
  <si>
    <t xml:space="preserve">Специализированные поликлиники              ( врачебно-физкультурный диспансер) </t>
  </si>
  <si>
    <t>41030500</t>
  </si>
  <si>
    <t>Субвенция на выполнение собственных полномочий территориальных громад сел, поселков, городов и их объединений</t>
  </si>
  <si>
    <t>Региональные программы и централизованные мероприятия</t>
  </si>
  <si>
    <t>Реализация государственных программ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</si>
  <si>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</si>
  <si>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</si>
  <si>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250380</t>
  </si>
  <si>
    <t>Прочие субвенции</t>
  </si>
  <si>
    <t xml:space="preserve">Главное управление капитального строительста </t>
  </si>
  <si>
    <t>Управление градостроительства и архитектуры</t>
  </si>
  <si>
    <t>от _______________      № _______</t>
  </si>
  <si>
    <t>41030400</t>
  </si>
  <si>
    <t>Субвенция из государственного бюджета местным бюджетам на выполнение инвестиционных проектов</t>
  </si>
  <si>
    <t>41034800</t>
  </si>
  <si>
    <t>Субвенция из государственного 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на прочих аварийных объектах коммунальной собственности</t>
  </si>
  <si>
    <t>250368</t>
  </si>
  <si>
    <t>250324</t>
  </si>
  <si>
    <t>150122</t>
  </si>
  <si>
    <t>Инвестиционные проекты</t>
  </si>
  <si>
    <t>Гостиничное хозяйство</t>
  </si>
  <si>
    <t>100206</t>
  </si>
  <si>
    <t>180109</t>
  </si>
  <si>
    <t>130112</t>
  </si>
  <si>
    <t>41035000</t>
  </si>
  <si>
    <t>Управление культуры облгосадминистрации</t>
  </si>
  <si>
    <t>090416</t>
  </si>
  <si>
    <t>Прочие расходы на социальную защиту ветеранов войны и труда</t>
  </si>
  <si>
    <t>Субвенция из государственного бюджета областному бюджету на социально-экономическое развитие</t>
  </si>
  <si>
    <t>Субвенция из государственного бюджета областному бюджету на передачу в коммунальную собственность объектов социальной инфраструктуры</t>
  </si>
  <si>
    <t>г.Димитрово</t>
  </si>
  <si>
    <t>г.Константиновка</t>
  </si>
  <si>
    <t>г.Краматорск</t>
  </si>
  <si>
    <t>г.Красный Лиман</t>
  </si>
  <si>
    <t>Артемовский район</t>
  </si>
  <si>
    <t>Володарский район</t>
  </si>
  <si>
    <t>всего</t>
  </si>
  <si>
    <t>в т.ч. расходы на содержание объектов социальной сферы предприятий, которые передаются в коммунальную собственность</t>
  </si>
  <si>
    <t>100105</t>
  </si>
  <si>
    <t>Сумма субвенции, тыс.грн.</t>
  </si>
  <si>
    <t>г.Славянск</t>
  </si>
  <si>
    <t>для подготовки медицинского обслуживания юбилейных мероприятий "Святогорье-2004"</t>
  </si>
  <si>
    <t>Великоновоселковский район</t>
  </si>
  <si>
    <t>на социально-экономическое развитие</t>
  </si>
  <si>
    <t>Марьинский район</t>
  </si>
  <si>
    <t xml:space="preserve">Всего </t>
  </si>
  <si>
    <t>Приложение 7</t>
  </si>
  <si>
    <t>Субвенция из государственного бюджета местным бюджетам на предоставление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 пострадавшим вследствие Чернобыльской катастрофы, по услугам связи и прочих, предусмотренных законодательством льгот (кроме льгот на  получение лекарств, зубопротезирование, оплату электроэнергии, жилищно-коммунальнных услуг, твердого и жидкого печного бытового топлива) и компенсацию за льготный проезд отдельных категорий граждан</t>
  </si>
  <si>
    <t>250372</t>
  </si>
  <si>
    <t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службі и ветеранов органов внутр.дел, а также уволенным со службы по возрасту, болезнью или выслугой лет работникам милиции, рядового и начал. состава крим.-исполн. системы, гос. пожар. охраны, погибших или умерших при испол. служ.обяз.,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закон. об охране здор., ч.2 ст.29 Основ закондат. о культуре, абз.1 ч.4 ст.57 ЗУ "Об образ." и жилищных субсидий населению на оплату электроэнергии, природного  газа, услуг тепло-, водоснабжения и водоотведения, квартплаты, вывозу бытового мусора и жидких нечистот</t>
  </si>
  <si>
    <t>Приложение 2</t>
  </si>
  <si>
    <t>к решению областного совета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</si>
  <si>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</si>
  <si>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</si>
  <si>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</si>
  <si>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</si>
  <si>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</si>
  <si>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</si>
  <si>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</si>
  <si>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</si>
  <si>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</si>
  <si>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</si>
  <si>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</si>
  <si>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</si>
  <si>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</si>
  <si>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региональные прог-раммы и централизованные мероприя-тия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</si>
  <si>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</si>
  <si>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</si>
  <si>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</si>
  <si>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</si>
  <si>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</si>
  <si>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</si>
  <si>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</si>
  <si>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061007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</si>
  <si>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</si>
  <si>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</si>
  <si>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</si>
  <si>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</si>
  <si>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</si>
  <si>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</si>
  <si>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</si>
  <si>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</si>
  <si>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</si>
  <si>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</si>
  <si>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</si>
  <si>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</si>
  <si>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</si>
  <si>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091207</t>
  </si>
  <si>
    <t>091209</t>
  </si>
  <si>
    <t>Финансовая поддержка общественных организаций инвалидов и ветеранов</t>
  </si>
  <si>
    <t>091212</t>
  </si>
  <si>
    <t>090700</t>
  </si>
  <si>
    <t>Приюты для несовершеннолетних</t>
  </si>
  <si>
    <t>Жилищно-коммунальное хозяйство</t>
  </si>
  <si>
    <t>Кинематография</t>
  </si>
  <si>
    <t>Средства массовой информации</t>
  </si>
  <si>
    <t>Периодические издания (газеты и журналы)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</si>
  <si>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</si>
  <si>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</si>
  <si>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</si>
  <si>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</si>
  <si>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</si>
  <si>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</si>
  <si>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</si>
  <si>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</si>
  <si>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Обслуживание долга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</si>
  <si>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</si>
  <si>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</si>
  <si>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</si>
  <si>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</si>
  <si>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 xml:space="preserve">Прочие расходы  </t>
  </si>
  <si>
    <t>И Т О Г О   Р А С Х О Д О В:</t>
  </si>
  <si>
    <t>Средства, передаваемые из общего фонда бюджета в бюджет развития (специального фонда)</t>
  </si>
  <si>
    <t>В С Е Г О   Р А С Х О Д О В:</t>
  </si>
  <si>
    <t>__________________________</t>
  </si>
  <si>
    <t xml:space="preserve"> </t>
  </si>
  <si>
    <t>Приложение 3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</si>
  <si>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</si>
  <si>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</si>
  <si>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региональные программы и централизованные мероприятия</t>
  </si>
  <si>
    <t>Донецкий областной совет</t>
  </si>
  <si>
    <t>070602</t>
  </si>
  <si>
    <t>Прочие расходы</t>
  </si>
  <si>
    <t>250203</t>
  </si>
  <si>
    <t>Главное управление образования и науки</t>
  </si>
  <si>
    <t>Детско-юношеская спортивная школа главного  управления образования и науки</t>
  </si>
  <si>
    <t xml:space="preserve">Управление здравоохранения </t>
  </si>
  <si>
    <t>Библиотеки</t>
  </si>
  <si>
    <t>Главное управление по труду и социальной защите населения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</si>
  <si>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</si>
  <si>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Помощь по уходу за инвалидами I или II группы вследствие психического расстройства</t>
  </si>
  <si>
    <t xml:space="preserve">Служба по делам несовершеннолетних </t>
  </si>
  <si>
    <t xml:space="preserve">Управление жилищно-коммунального хозяйства </t>
  </si>
  <si>
    <t>110200  110500</t>
  </si>
  <si>
    <t>Донецкое областное производственное объединение "Киновидеопрокат"</t>
  </si>
  <si>
    <t>Подготовка материалов к своду "Памятники истории и культуры"</t>
  </si>
  <si>
    <t>Подготовка материалов к издательству 5,8,9 томов книги "Памяти фронтовиков"</t>
  </si>
  <si>
    <t xml:space="preserve">Управление по делам прессы и информации </t>
  </si>
  <si>
    <t xml:space="preserve">Редакционная группа "Реабилитированные историей" </t>
  </si>
  <si>
    <t xml:space="preserve">Управление по вопросам физической культуры и спорта </t>
  </si>
  <si>
    <t xml:space="preserve">Главное управление экономики </t>
  </si>
  <si>
    <t>Главное финансовое управление</t>
  </si>
  <si>
    <t>200200</t>
  </si>
  <si>
    <t>Охрана и рациональное использование земель</t>
  </si>
  <si>
    <t xml:space="preserve">к решению областного совета </t>
  </si>
  <si>
    <t>240601  240602  240603  240604  240605</t>
  </si>
  <si>
    <t>Приложение 1</t>
  </si>
  <si>
    <t>Доходы областного бюджета на 2004 год</t>
  </si>
  <si>
    <t>Код</t>
  </si>
  <si>
    <t>Наименование доходов в соответствии с  бюджетной классификацией</t>
  </si>
  <si>
    <t>Общий фонд</t>
  </si>
  <si>
    <t xml:space="preserve">              Специальный фонд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</si>
  <si>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</si>
  <si>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</si>
  <si>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</si>
  <si>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</si>
  <si>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</si>
  <si>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</si>
  <si>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</si>
  <si>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</si>
  <si>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</si>
  <si>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</si>
  <si>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</si>
  <si>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</si>
  <si>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</si>
  <si>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</si>
  <si>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</si>
  <si>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</si>
  <si>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</si>
  <si>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</si>
  <si>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</si>
  <si>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</si>
  <si>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</si>
  <si>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</si>
  <si>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</si>
  <si>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</si>
  <si>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</si>
  <si>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</si>
  <si>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</si>
  <si>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</si>
  <si>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</si>
  <si>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</si>
  <si>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</si>
  <si>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</si>
  <si>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Средства, полученные из общего  фонда бюджета   в бюджет развития (специального фонда)</t>
  </si>
  <si>
    <t>Всего доходов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</si>
  <si>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</si>
  <si>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</si>
  <si>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Расходы областного бюджета на 2004 год</t>
  </si>
  <si>
    <t xml:space="preserve">              Распределение расходов областного бюджета на 2004 год</t>
  </si>
  <si>
    <t>тыс.грн.</t>
  </si>
  <si>
    <t>Управление по вопросам чрезвычайных ситуаций и по делам защиты населения от последствий Чернобыльской катастрофы</t>
  </si>
  <si>
    <t>Главное управление промышленности, транспорта и связи</t>
  </si>
  <si>
    <t>О70601</t>
  </si>
  <si>
    <t>Наименование административно-территориальных единиц</t>
  </si>
  <si>
    <t>Льготы, предоставляемые населению (кроме ветеранов войны и труда, воинской службы, органов внутренних дел и граждан, пострадавших вследствие Чернобыльской катастрофы) на оплату жилищно-коммунальных услуг и природного газа</t>
  </si>
  <si>
    <t>Предупреждение и ликвидация чрезвычайных ситуаций и последствий стихийного бедствия</t>
  </si>
  <si>
    <t>Проведение выборов народных депутатов местных советов</t>
  </si>
  <si>
    <t>Дополнительная дотация из государственного бюджета бюджету Автономной Республики Крым и областным бюджетам на уменьшение фактических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</si>
  <si>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строительство метрополитена</t>
  </si>
  <si>
    <t>Средства, передаваемые в Государственный бюджет из бюджета Автономной Республики Крым, областных и районных бюджетов, городских бюджетов</t>
  </si>
  <si>
    <t>Высшие учреждения образования III и IV уровней аккредитации</t>
  </si>
  <si>
    <t>120201</t>
  </si>
  <si>
    <t>080400</t>
  </si>
  <si>
    <t>150101</t>
  </si>
  <si>
    <t>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</si>
  <si>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строительство и приобретение жилья для инвалидов-глухих и инвалидов-слепых</t>
  </si>
  <si>
    <t xml:space="preserve">Субвенция из государственного бюджета областному бюджету Донецкой области на мероприятия, связанные с завершением реконструкции областной травматологической больницы </t>
  </si>
  <si>
    <t>Субвенция из государственного бюджета местным бюджетам  на бесплатное обеспечение углем на бытовые потребности лицам, которые имеют такое право согласно ст.48 Горного закона Украины</t>
  </si>
  <si>
    <t xml:space="preserve">Субвенция из государственного 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</si>
  <si>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Образование (учреждения образования, программы и мероприятия в сфере образования), в том числе:</t>
  </si>
  <si>
    <t>070401</t>
  </si>
  <si>
    <t>Внешкольные учреждения образования, мероприятия по  внешкольной работе с детьми (мероприятия по летнему оздоровлению детей и студентов)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</si>
  <si>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</si>
  <si>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стипендии одаренным учащимся и студентам</t>
  </si>
  <si>
    <t>стипендии одаренным учащимся, студентам и аспирантам</t>
  </si>
  <si>
    <t>центр переподготовки и повышения квалификации работников органов государственной власти, органов  местного самоуправления, руководителей государственных предприятий, учреждений и организаций</t>
  </si>
  <si>
    <t xml:space="preserve">Образование (высшие учреждения образования І-ІІ уровней аккредитации; прочие учреждения и мероприятия последипломного образования) </t>
  </si>
  <si>
    <t>Высшие учреждения образования І-ІІ уровней аккредитации</t>
  </si>
  <si>
    <t xml:space="preserve">Культура                                                                                                                                                            Прочие мероприятия и учреждения в области исскуства и культуры  </t>
  </si>
  <si>
    <t>250329</t>
  </si>
  <si>
    <t>250309</t>
  </si>
  <si>
    <t>41030600</t>
  </si>
  <si>
    <t>Субвенция из государственного бюджета местным бюджетам на выплату помощи семьям с детьми, малообеспеченным семьям, инвалидам с детства  и детям-инвалидам</t>
  </si>
  <si>
    <t>41030800</t>
  </si>
  <si>
    <t>41030900</t>
  </si>
  <si>
    <t>41031000</t>
  </si>
  <si>
    <t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 ветеранам органов внутренних дел, гражданам, пострадавшим вследствие Чернобыльской катастрофы и жилищных субсидий населению на приобретение твердого и жидкого печного бытового топлива и сжиженного газа</t>
  </si>
  <si>
    <t>41034700</t>
  </si>
  <si>
    <t>Субвенция из государственного бюджета местным бюджетам на погашение задолженности по льготам населению за предоставленные услуги связи</t>
  </si>
  <si>
    <t>250326</t>
  </si>
  <si>
    <t>250328</t>
  </si>
  <si>
    <t>250330</t>
  </si>
  <si>
    <t>110102</t>
  </si>
  <si>
    <t>110103</t>
  </si>
  <si>
    <t>Театры</t>
  </si>
  <si>
    <t>Филармонии, музыкальные коллективы и ансамбли  и прочие меприятия и учреждения по искусству</t>
  </si>
  <si>
    <t>Культура и искусство, в том числе</t>
  </si>
  <si>
    <t>110502</t>
  </si>
  <si>
    <t>Другие культурно-образовательные учреждения и мероприятия</t>
  </si>
  <si>
    <t>250367</t>
  </si>
  <si>
    <t xml:space="preserve"> Поступления от размещения  в учреждениях банков временно свободных бюджетных  средств </t>
  </si>
  <si>
    <t xml:space="preserve"> Плата за аренду целостных имущественных комплексов и другого государственного имущества </t>
  </si>
  <si>
    <t>091101</t>
  </si>
  <si>
    <t>Содержание центров социальных служб для молодежи</t>
  </si>
  <si>
    <t>091102</t>
  </si>
  <si>
    <t>091103</t>
  </si>
  <si>
    <t>091104</t>
  </si>
  <si>
    <t>Социальные программы и мероприятия государственных органов по делам молодежи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</si>
  <si>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</si>
  <si>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</si>
  <si>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</si>
  <si>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</si>
  <si>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</si>
  <si>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</si>
  <si>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091211</t>
  </si>
  <si>
    <t>Централизованные бухгалтерии</t>
  </si>
  <si>
    <t>Средства, передаваемые по взаимным расчетам между местными бюджетами</t>
  </si>
  <si>
    <t>41021200</t>
  </si>
  <si>
    <t>41021300</t>
  </si>
  <si>
    <t>41035400</t>
  </si>
  <si>
    <t>41032200</t>
  </si>
  <si>
    <t>250342</t>
  </si>
  <si>
    <t>250318</t>
  </si>
  <si>
    <t>250313</t>
  </si>
  <si>
    <t xml:space="preserve">Жилищное строительство и приобретение жилья для отдельных категорий населения  </t>
  </si>
  <si>
    <t>150118</t>
  </si>
  <si>
    <t>150120</t>
  </si>
  <si>
    <t>Строительство метрополитена</t>
  </si>
  <si>
    <t>150119</t>
  </si>
  <si>
    <t>090411</t>
  </si>
  <si>
    <t>Средства на обеспечение бытовым углем отдельных категорий населения</t>
  </si>
  <si>
    <t>090601</t>
  </si>
  <si>
    <t>Дома-интернаты для малолетних инвалидов</t>
  </si>
  <si>
    <t>090901</t>
  </si>
  <si>
    <t>Дома-интернаты (пансионаты) для престарелых и инвалидов системы социальной защиты</t>
  </si>
  <si>
    <t>Программы и мероприятия центров социальных служб для молодежи</t>
  </si>
  <si>
    <t xml:space="preserve"> Социальные программы и мероприятия государственных органов по делам молодежи</t>
  </si>
  <si>
    <t>Социальные программы и мероприятия государственных органов по делам женщин</t>
  </si>
  <si>
    <t>091210</t>
  </si>
  <si>
    <t>Дополнительная дотация из государственного бюджета местным бюджетам на повышение стипендии учащимся профессионально-технических и студентам высших учебных заведений в соответствии с Указом Президента Украины от 17.02.2004 № 199.</t>
  </si>
  <si>
    <t>Службы технического надзора за строительством и капитальным ремонтом</t>
  </si>
  <si>
    <t>150107</t>
  </si>
  <si>
    <t>Обработка информации по начислению и выплате пособий и компенсаций</t>
  </si>
  <si>
    <t>Здравоохранение (содержание лечебно-профилактических учреждений, проведение мероприятий и выполнение программ), в том числе</t>
  </si>
  <si>
    <t>Физическая культура и спорт (содержание учреждений физкультуры и спорта, проведение учебно-тренировочных сборов, соревнований и мероприятий)</t>
  </si>
  <si>
    <t>Субвенция из государственного бюджета местным бюджетам на предоставление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 пострадавшим вследствие Чернобыльской катастрофы, по услугам связи и прочих, предусмотренных законодательством льгот (кроме льгот на  получение лекарств, зубопротезирования, оплату электроэнергии, жилищно-коммунальнных услуг, твердого и жидкого печного бытового топлива) и компенсацию за льготный проезд отдельных категорий граждан</t>
  </si>
  <si>
    <t>Проведение неотложных восстановительных работ, строительство и реконструкция в медицинских учреждениях</t>
  </si>
  <si>
    <t xml:space="preserve">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</si>
  <si>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250359</t>
  </si>
  <si>
    <t>Управление по делам семьи и молодежи</t>
  </si>
  <si>
    <t>от_______________   №_______</t>
  </si>
  <si>
    <t>от________________ № ____</t>
  </si>
  <si>
    <t>от ______________ № _______</t>
  </si>
  <si>
    <t xml:space="preserve">Субвенции из областного бюджета бюджетам городов и районов </t>
  </si>
  <si>
    <t>Дополнительная дотация из государственного бюджета местным,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</si>
  <si>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Субвенция из государственного бюджета местным бюджетам на социально-экономическое развитие соответствующих территорий</t>
  </si>
  <si>
    <t>Субвенция из государственного бюджета местным бюджетам на передачу в коммунальную собственность объектов социальной инфраструктуры</t>
  </si>
  <si>
    <t>Расходы на проведение работ, связанных со строительством, реконструкцией, ремонтом и  содержанием автомобильных дорог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</si>
  <si>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</si>
  <si>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Субвенция из государственного бюджета  местным бюджетам на социально-экономическое развитие соответствующих территорий</t>
  </si>
  <si>
    <t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службі и ветеранов органов внутр.дел, а также уволенным со службы по возрасту, болезнью или выслугой лет работникам милиции, рядового и начал. состава крим.-исполн. системы, гос. пожар. охраны, погибших или умерших при испол. служ.обяз.,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закон. об охране здор., ч.2 ст.29 Основ закондат. о культуре, абз.1 ч.4 ст.57 ЗУ "Об образ." и жилищных субсидий населению на оплату электроэнергии, природного  газа, услуг тепло-, водоснабжения и водоотведения, квартплаты, вывозу бытового мусора</t>
  </si>
  <si>
    <t>100000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</si>
</sst>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"/>
    <numFmt numFmtId="181" formatCode="#,##0.0000"/>
    <numFmt numFmtId="182" formatCode="#,##0.000000"/>
    <numFmt numFmtId="183" formatCode="0.0%"/>
  </numFmts>
  <fonts count="1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left" vertical="center" wrapText="1"/>
    </xf>
    <xf numFmtId="172" fontId="1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left" wrapText="1"/>
    </xf>
    <xf numFmtId="172" fontId="3" fillId="0" borderId="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1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5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72" fontId="1" fillId="0" borderId="6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vertical="center" wrapText="1" shrinkToFit="1"/>
    </xf>
    <xf numFmtId="49" fontId="1" fillId="0" borderId="5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3" fillId="0" borderId="6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172" fontId="1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left" wrapText="1" shrinkToFit="1"/>
    </xf>
    <xf numFmtId="172" fontId="3" fillId="0" borderId="5" xfId="0" applyNumberFormat="1" applyFont="1" applyFill="1" applyBorder="1" applyAlignment="1">
      <alignment horizontal="center"/>
    </xf>
    <xf numFmtId="172" fontId="3" fillId="0" borderId="8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2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 shrinkToFit="1"/>
    </xf>
    <xf numFmtId="172" fontId="0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172" fontId="3" fillId="0" borderId="8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top" wrapText="1"/>
    </xf>
    <xf numFmtId="172" fontId="1" fillId="0" borderId="8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9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top"/>
    </xf>
    <xf numFmtId="172" fontId="1" fillId="0" borderId="9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172" fontId="1" fillId="0" borderId="5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left" vertical="center" wrapText="1"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1" fillId="0" borderId="9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 vertical="top"/>
    </xf>
    <xf numFmtId="172" fontId="1" fillId="0" borderId="21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172" fontId="3" fillId="0" borderId="22" xfId="0" applyNumberFormat="1" applyFont="1" applyFill="1" applyBorder="1" applyAlignment="1">
      <alignment horizontal="right"/>
    </xf>
    <xf numFmtId="172" fontId="3" fillId="0" borderId="2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" fillId="0" borderId="5" xfId="0" applyFont="1" applyFill="1" applyBorder="1" applyAlignment="1">
      <alignment vertical="top" wrapText="1"/>
    </xf>
    <xf numFmtId="172" fontId="1" fillId="0" borderId="13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left" wrapText="1"/>
    </xf>
    <xf numFmtId="172" fontId="3" fillId="0" borderId="25" xfId="0" applyNumberFormat="1" applyFont="1" applyFill="1" applyBorder="1" applyAlignment="1">
      <alignment horizontal="right"/>
    </xf>
    <xf numFmtId="172" fontId="3" fillId="0" borderId="2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172" fontId="1" fillId="0" borderId="27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wrapText="1" shrinkToFit="1"/>
    </xf>
    <xf numFmtId="0" fontId="1" fillId="0" borderId="4" xfId="0" applyFont="1" applyFill="1" applyBorder="1" applyAlignment="1">
      <alignment horizontal="center"/>
    </xf>
    <xf numFmtId="172" fontId="1" fillId="0" borderId="5" xfId="0" applyNumberFormat="1" applyFont="1" applyFill="1" applyBorder="1" applyAlignment="1">
      <alignment horizontal="center"/>
    </xf>
    <xf numFmtId="172" fontId="1" fillId="0" borderId="9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 shrinkToFit="1"/>
    </xf>
    <xf numFmtId="172" fontId="1" fillId="0" borderId="5" xfId="0" applyNumberFormat="1" applyFont="1" applyFill="1" applyBorder="1" applyAlignment="1">
      <alignment horizontal="center" vertical="center"/>
    </xf>
    <xf numFmtId="172" fontId="1" fillId="0" borderId="9" xfId="0" applyNumberFormat="1" applyFont="1" applyFill="1" applyBorder="1" applyAlignment="1">
      <alignment horizontal="center" vertical="center"/>
    </xf>
    <xf numFmtId="172" fontId="10" fillId="0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 shrinkToFit="1"/>
    </xf>
    <xf numFmtId="172" fontId="1" fillId="0" borderId="7" xfId="0" applyNumberFormat="1" applyFont="1" applyFill="1" applyBorder="1" applyAlignment="1">
      <alignment horizontal="center"/>
    </xf>
    <xf numFmtId="172" fontId="9" fillId="0" borderId="7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10" fillId="0" borderId="18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 shrinkToFit="1"/>
    </xf>
    <xf numFmtId="172" fontId="10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 shrinkToFit="1"/>
    </xf>
    <xf numFmtId="49" fontId="1" fillId="0" borderId="11" xfId="0" applyNumberFormat="1" applyFont="1" applyFill="1" applyBorder="1" applyAlignment="1">
      <alignment horizontal="center" vertical="top"/>
    </xf>
    <xf numFmtId="172" fontId="1" fillId="0" borderId="6" xfId="0" applyNumberFormat="1" applyFont="1" applyFill="1" applyBorder="1" applyAlignment="1">
      <alignment horizontal="center"/>
    </xf>
    <xf numFmtId="172" fontId="1" fillId="0" borderId="8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1" fillId="0" borderId="5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 shrinkToFit="1"/>
    </xf>
    <xf numFmtId="172" fontId="3" fillId="0" borderId="7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172" fontId="3" fillId="0" borderId="4" xfId="0" applyNumberFormat="1" applyFont="1" applyBorder="1" applyAlignment="1">
      <alignment horizont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34" xfId="0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Fill="1" applyBorder="1" applyAlignment="1">
      <alignment horizontal="center" vertical="center" wrapText="1"/>
    </xf>
    <xf numFmtId="172" fontId="3" fillId="0" borderId="37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172" fontId="3" fillId="0" borderId="37" xfId="0" applyNumberFormat="1" applyFont="1" applyFill="1" applyBorder="1" applyAlignment="1">
      <alignment horizontal="center" vertical="center"/>
    </xf>
    <xf numFmtId="172" fontId="3" fillId="0" borderId="37" xfId="0" applyNumberFormat="1" applyFont="1" applyFill="1" applyBorder="1" applyAlignment="1">
      <alignment horizontal="center"/>
    </xf>
    <xf numFmtId="172" fontId="3" fillId="0" borderId="38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172" fontId="3" fillId="0" borderId="39" xfId="0" applyNumberFormat="1" applyFont="1" applyBorder="1" applyAlignment="1">
      <alignment/>
    </xf>
    <xf numFmtId="172" fontId="3" fillId="0" borderId="40" xfId="0" applyNumberFormat="1" applyFont="1" applyBorder="1" applyAlignment="1">
      <alignment/>
    </xf>
    <xf numFmtId="172" fontId="3" fillId="0" borderId="41" xfId="0" applyNumberFormat="1" applyFont="1" applyBorder="1" applyAlignment="1">
      <alignment/>
    </xf>
    <xf numFmtId="0" fontId="3" fillId="0" borderId="4" xfId="0" applyFont="1" applyBorder="1" applyAlignment="1">
      <alignment horizontal="center" vertical="top" wrapText="1" shrinkToFit="1"/>
    </xf>
    <xf numFmtId="0" fontId="1" fillId="0" borderId="3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5" xfId="0" applyFont="1" applyFill="1" applyBorder="1" applyAlignment="1">
      <alignment horizontal="left" vertical="top" wrapText="1" shrinkToFit="1"/>
    </xf>
    <xf numFmtId="0" fontId="1" fillId="0" borderId="5" xfId="0" applyFont="1" applyFill="1" applyBorder="1" applyAlignment="1">
      <alignment horizontal="justify" vertical="top"/>
    </xf>
    <xf numFmtId="0" fontId="1" fillId="0" borderId="29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28" xfId="0" applyFont="1" applyFill="1" applyBorder="1" applyAlignment="1">
      <alignment horizontal="center" wrapText="1" shrinkToFit="1"/>
    </xf>
    <xf numFmtId="0" fontId="3" fillId="0" borderId="43" xfId="0" applyFont="1" applyFill="1" applyBorder="1" applyAlignment="1">
      <alignment horizontal="center" wrapText="1" shrinkToFit="1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 shrinkToFit="1"/>
    </xf>
    <xf numFmtId="0" fontId="1" fillId="0" borderId="42" xfId="0" applyFont="1" applyFill="1" applyBorder="1" applyAlignment="1">
      <alignment horizontal="center" wrapText="1" shrinkToFi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2" xfId="0" applyNumberFormat="1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9" fontId="3" fillId="0" borderId="28" xfId="0" applyNumberFormat="1" applyFont="1" applyFill="1" applyBorder="1" applyAlignment="1">
      <alignment horizontal="center" vertical="center" wrapText="1"/>
    </xf>
    <xf numFmtId="9" fontId="3" fillId="0" borderId="29" xfId="0" applyNumberFormat="1" applyFont="1" applyFill="1" applyBorder="1" applyAlignment="1">
      <alignment horizontal="center" vertical="center" wrapText="1"/>
    </xf>
    <xf numFmtId="9" fontId="3" fillId="0" borderId="3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="60" zoomScaleNormal="70" workbookViewId="0" topLeftCell="A55">
      <selection activeCell="C56" sqref="C56"/>
    </sheetView>
  </sheetViews>
  <sheetFormatPr defaultColWidth="9.00390625" defaultRowHeight="12.75"/>
  <cols>
    <col min="1" max="1" width="10.75390625" style="124" customWidth="1"/>
    <col min="2" max="2" width="44.125" style="126" customWidth="1"/>
    <col min="3" max="3" width="11.125" style="125" customWidth="1"/>
    <col min="4" max="4" width="11.375" style="125" customWidth="1"/>
    <col min="5" max="5" width="9.875" style="125" customWidth="1"/>
    <col min="6" max="6" width="11.125" style="125" customWidth="1"/>
    <col min="7" max="10" width="9.25390625" style="125" bestFit="1" customWidth="1"/>
    <col min="11" max="11" width="10.00390625" style="125" bestFit="1" customWidth="1"/>
    <col min="12" max="16384" width="9.125" style="125" customWidth="1"/>
  </cols>
  <sheetData>
    <row r="1" spans="2:6" ht="13.5">
      <c r="B1" s="125"/>
      <c r="D1" s="202" t="s">
        <v>146</v>
      </c>
      <c r="E1" s="202"/>
      <c r="F1" s="202"/>
    </row>
    <row r="2" spans="4:6" ht="13.5">
      <c r="D2" s="202" t="s">
        <v>51</v>
      </c>
      <c r="E2" s="202"/>
      <c r="F2" s="202"/>
    </row>
    <row r="3" spans="4:6" ht="13.5">
      <c r="D3" s="202" t="s">
        <v>11</v>
      </c>
      <c r="E3" s="202"/>
      <c r="F3" s="202"/>
    </row>
    <row r="4" spans="5:6" ht="14.25" customHeight="1">
      <c r="E4" s="202"/>
      <c r="F4" s="202"/>
    </row>
    <row r="5" ht="3.75" customHeight="1" hidden="1"/>
    <row r="6" spans="3:6" ht="15" customHeight="1">
      <c r="C6" s="127" t="s">
        <v>147</v>
      </c>
      <c r="D6" s="128"/>
      <c r="E6" s="128"/>
      <c r="F6" s="128"/>
    </row>
    <row r="7" ht="12.75" customHeight="1">
      <c r="F7" s="3" t="s">
        <v>190</v>
      </c>
    </row>
    <row r="8" ht="12" thickBot="1"/>
    <row r="9" ht="12" customHeight="1" hidden="1"/>
    <row r="10" spans="1:6" ht="14.25" thickBot="1">
      <c r="A10" s="205" t="s">
        <v>148</v>
      </c>
      <c r="B10" s="207" t="s">
        <v>149</v>
      </c>
      <c r="C10" s="209" t="s">
        <v>150</v>
      </c>
      <c r="D10" s="129" t="s">
        <v>151</v>
      </c>
      <c r="E10" s="130"/>
      <c r="F10" s="211" t="s">
        <v>58</v>
      </c>
    </row>
    <row r="11" spans="1:6" ht="41.25" thickBot="1">
      <c r="A11" s="206"/>
      <c r="B11" s="208"/>
      <c r="C11" s="210"/>
      <c r="D11" s="131" t="s">
        <v>58</v>
      </c>
      <c r="E11" s="132" t="s">
        <v>152</v>
      </c>
      <c r="F11" s="212"/>
    </row>
    <row r="12" spans="1:6" ht="14.25" thickBot="1">
      <c r="A12" s="133">
        <v>1</v>
      </c>
      <c r="B12" s="134">
        <v>2</v>
      </c>
      <c r="C12" s="135">
        <v>3</v>
      </c>
      <c r="D12" s="135">
        <v>4</v>
      </c>
      <c r="E12" s="135">
        <v>5</v>
      </c>
      <c r="F12" s="135" t="s">
        <v>153</v>
      </c>
    </row>
    <row r="13" spans="1:7" s="66" customFormat="1" ht="12.75">
      <c r="A13" s="68">
        <v>10000000</v>
      </c>
      <c r="B13" s="62" t="s">
        <v>154</v>
      </c>
      <c r="C13" s="63">
        <f>C14+C20+C22</f>
        <v>464337.89999999997</v>
      </c>
      <c r="D13" s="63">
        <f>D18+D22</f>
        <v>29400</v>
      </c>
      <c r="E13" s="63" t="s">
        <v>155</v>
      </c>
      <c r="F13" s="64">
        <f>C13+D13</f>
        <v>493737.89999999997</v>
      </c>
      <c r="G13" s="65"/>
    </row>
    <row r="14" spans="1:6" ht="27">
      <c r="A14" s="80">
        <v>11000000</v>
      </c>
      <c r="B14" s="48" t="s">
        <v>156</v>
      </c>
      <c r="C14" s="136">
        <f>C15+C16</f>
        <v>375505.89999999997</v>
      </c>
      <c r="D14" s="136" t="s">
        <v>155</v>
      </c>
      <c r="E14" s="136" t="s">
        <v>155</v>
      </c>
      <c r="F14" s="137">
        <f>F15+F16</f>
        <v>375505.89999999997</v>
      </c>
    </row>
    <row r="15" spans="1:6" ht="13.5">
      <c r="A15" s="80">
        <v>11010000</v>
      </c>
      <c r="B15" s="48" t="s">
        <v>157</v>
      </c>
      <c r="C15" s="138">
        <f>358662.3+6000+8523.6+900+1000</f>
        <v>375085.89999999997</v>
      </c>
      <c r="D15" s="136" t="s">
        <v>155</v>
      </c>
      <c r="E15" s="136" t="s">
        <v>155</v>
      </c>
      <c r="F15" s="137">
        <f>C15</f>
        <v>375085.89999999997</v>
      </c>
    </row>
    <row r="16" spans="1:6" ht="13.5">
      <c r="A16" s="80">
        <v>11020000</v>
      </c>
      <c r="B16" s="48" t="s">
        <v>158</v>
      </c>
      <c r="C16" s="136">
        <f>C17</f>
        <v>420</v>
      </c>
      <c r="D16" s="136" t="s">
        <v>155</v>
      </c>
      <c r="E16" s="136" t="s">
        <v>155</v>
      </c>
      <c r="F16" s="137">
        <f>C16</f>
        <v>420</v>
      </c>
    </row>
    <row r="17" spans="1:6" ht="27">
      <c r="A17" s="80">
        <v>11020200</v>
      </c>
      <c r="B17" s="48" t="s">
        <v>159</v>
      </c>
      <c r="C17" s="138">
        <v>420</v>
      </c>
      <c r="D17" s="136" t="s">
        <v>155</v>
      </c>
      <c r="E17" s="136" t="s">
        <v>155</v>
      </c>
      <c r="F17" s="137">
        <f>C17</f>
        <v>420</v>
      </c>
    </row>
    <row r="18" spans="1:6" ht="13.5">
      <c r="A18" s="80">
        <v>12000000</v>
      </c>
      <c r="B18" s="48" t="s">
        <v>160</v>
      </c>
      <c r="C18" s="136" t="s">
        <v>155</v>
      </c>
      <c r="D18" s="136">
        <f>D19</f>
        <v>28100</v>
      </c>
      <c r="E18" s="136" t="s">
        <v>155</v>
      </c>
      <c r="F18" s="137">
        <f>F19</f>
        <v>28100</v>
      </c>
    </row>
    <row r="19" spans="1:6" ht="27">
      <c r="A19" s="80">
        <v>12020000</v>
      </c>
      <c r="B19" s="48" t="s">
        <v>161</v>
      </c>
      <c r="C19" s="136" t="s">
        <v>155</v>
      </c>
      <c r="D19" s="138">
        <v>28100</v>
      </c>
      <c r="E19" s="136" t="s">
        <v>155</v>
      </c>
      <c r="F19" s="137">
        <v>28100</v>
      </c>
    </row>
    <row r="20" spans="1:6" ht="27">
      <c r="A20" s="80">
        <v>13000000</v>
      </c>
      <c r="B20" s="48" t="s">
        <v>162</v>
      </c>
      <c r="C20" s="136">
        <f>C21</f>
        <v>68250</v>
      </c>
      <c r="D20" s="136" t="s">
        <v>155</v>
      </c>
      <c r="E20" s="136" t="s">
        <v>155</v>
      </c>
      <c r="F20" s="137">
        <f>F21</f>
        <v>68250</v>
      </c>
    </row>
    <row r="21" spans="1:6" ht="13.5">
      <c r="A21" s="80">
        <v>13050000</v>
      </c>
      <c r="B21" s="48" t="s">
        <v>163</v>
      </c>
      <c r="C21" s="138">
        <f>66250+2000</f>
        <v>68250</v>
      </c>
      <c r="D21" s="136" t="s">
        <v>155</v>
      </c>
      <c r="E21" s="136" t="s">
        <v>155</v>
      </c>
      <c r="F21" s="137">
        <f>C21</f>
        <v>68250</v>
      </c>
    </row>
    <row r="22" spans="1:6" ht="13.5" customHeight="1">
      <c r="A22" s="80">
        <v>14000000</v>
      </c>
      <c r="B22" s="48" t="s">
        <v>164</v>
      </c>
      <c r="C22" s="136">
        <f>C23+C24+C25</f>
        <v>20582</v>
      </c>
      <c r="D22" s="136">
        <f>D26</f>
        <v>1300</v>
      </c>
      <c r="E22" s="136" t="s">
        <v>155</v>
      </c>
      <c r="F22" s="137">
        <f>C22+D22</f>
        <v>21882</v>
      </c>
    </row>
    <row r="23" spans="1:6" ht="13.5">
      <c r="A23" s="80">
        <v>14060200</v>
      </c>
      <c r="B23" s="48" t="s">
        <v>165</v>
      </c>
      <c r="C23" s="138">
        <v>460</v>
      </c>
      <c r="D23" s="136" t="s">
        <v>155</v>
      </c>
      <c r="E23" s="136" t="s">
        <v>155</v>
      </c>
      <c r="F23" s="137">
        <f>C23</f>
        <v>460</v>
      </c>
    </row>
    <row r="24" spans="1:6" ht="27">
      <c r="A24" s="80">
        <v>14060300</v>
      </c>
      <c r="B24" s="48" t="s">
        <v>166</v>
      </c>
      <c r="C24" s="138">
        <v>22</v>
      </c>
      <c r="D24" s="136" t="s">
        <v>155</v>
      </c>
      <c r="E24" s="136" t="s">
        <v>155</v>
      </c>
      <c r="F24" s="137">
        <f>C24</f>
        <v>22</v>
      </c>
    </row>
    <row r="25" spans="1:6" ht="27">
      <c r="A25" s="80">
        <v>14061100</v>
      </c>
      <c r="B25" s="48" t="s">
        <v>167</v>
      </c>
      <c r="C25" s="138">
        <f>18000+1800+300</f>
        <v>20100</v>
      </c>
      <c r="D25" s="136" t="s">
        <v>155</v>
      </c>
      <c r="E25" s="136" t="s">
        <v>155</v>
      </c>
      <c r="F25" s="137">
        <f>C25</f>
        <v>20100</v>
      </c>
    </row>
    <row r="26" spans="1:6" ht="27">
      <c r="A26" s="80">
        <v>14070000</v>
      </c>
      <c r="B26" s="48" t="s">
        <v>168</v>
      </c>
      <c r="C26" s="136" t="s">
        <v>155</v>
      </c>
      <c r="D26" s="136">
        <f>D27</f>
        <v>1300</v>
      </c>
      <c r="E26" s="136" t="s">
        <v>155</v>
      </c>
      <c r="F26" s="137">
        <f>F27</f>
        <v>1300</v>
      </c>
    </row>
    <row r="27" spans="1:6" ht="40.5">
      <c r="A27" s="80">
        <v>14071500</v>
      </c>
      <c r="B27" s="48" t="s">
        <v>169</v>
      </c>
      <c r="C27" s="136" t="s">
        <v>155</v>
      </c>
      <c r="D27" s="138">
        <v>1300</v>
      </c>
      <c r="E27" s="136" t="s">
        <v>155</v>
      </c>
      <c r="F27" s="137">
        <f>D27</f>
        <v>1300</v>
      </c>
    </row>
    <row r="28" spans="1:6" s="66" customFormat="1" ht="12.75">
      <c r="A28" s="68">
        <v>20000000</v>
      </c>
      <c r="B28" s="62" t="s">
        <v>170</v>
      </c>
      <c r="C28" s="63">
        <f>C29+C32+C34+C37</f>
        <v>7691.600000000001</v>
      </c>
      <c r="D28" s="63">
        <f>D31+D41</f>
        <v>20314.3</v>
      </c>
      <c r="E28" s="63" t="s">
        <v>155</v>
      </c>
      <c r="F28" s="67">
        <f>C28+D28</f>
        <v>28005.9</v>
      </c>
    </row>
    <row r="29" spans="1:6" ht="27">
      <c r="A29" s="80">
        <v>21000000</v>
      </c>
      <c r="B29" s="48" t="s">
        <v>171</v>
      </c>
      <c r="C29" s="136">
        <f>C30</f>
        <v>6662.4000000000015</v>
      </c>
      <c r="D29" s="136" t="str">
        <f>D30</f>
        <v>Х</v>
      </c>
      <c r="E29" s="136" t="s">
        <v>155</v>
      </c>
      <c r="F29" s="137">
        <f>C29</f>
        <v>6662.4000000000015</v>
      </c>
    </row>
    <row r="30" spans="1:6" ht="26.25" customHeight="1">
      <c r="A30" s="80">
        <v>21040000</v>
      </c>
      <c r="B30" s="48" t="s">
        <v>241</v>
      </c>
      <c r="C30" s="136">
        <f>25223.3+0.4+38.7+2500-1000-400-20000+300</f>
        <v>6662.4000000000015</v>
      </c>
      <c r="D30" s="136" t="s">
        <v>155</v>
      </c>
      <c r="E30" s="136" t="s">
        <v>155</v>
      </c>
      <c r="F30" s="137">
        <f>C30</f>
        <v>6662.4000000000015</v>
      </c>
    </row>
    <row r="31" spans="1:6" ht="40.5">
      <c r="A31" s="80">
        <v>21110000</v>
      </c>
      <c r="B31" s="48" t="s">
        <v>172</v>
      </c>
      <c r="C31" s="136" t="s">
        <v>155</v>
      </c>
      <c r="D31" s="136">
        <v>665.4</v>
      </c>
      <c r="E31" s="136" t="s">
        <v>155</v>
      </c>
      <c r="F31" s="137">
        <f>D31</f>
        <v>665.4</v>
      </c>
    </row>
    <row r="32" spans="1:6" ht="27">
      <c r="A32" s="80">
        <v>22000000</v>
      </c>
      <c r="B32" s="48" t="s">
        <v>173</v>
      </c>
      <c r="C32" s="136">
        <f>C33</f>
        <v>783.1999999999999</v>
      </c>
      <c r="D32" s="136" t="s">
        <v>155</v>
      </c>
      <c r="E32" s="136" t="s">
        <v>155</v>
      </c>
      <c r="F32" s="137">
        <f>C32</f>
        <v>783.1999999999999</v>
      </c>
    </row>
    <row r="33" spans="1:6" ht="24.75" customHeight="1">
      <c r="A33" s="80">
        <v>22080000</v>
      </c>
      <c r="B33" s="139" t="s">
        <v>242</v>
      </c>
      <c r="C33" s="138">
        <f>750+83.3-47.8-0.2-2.1</f>
        <v>783.1999999999999</v>
      </c>
      <c r="D33" s="136" t="s">
        <v>155</v>
      </c>
      <c r="E33" s="136" t="s">
        <v>155</v>
      </c>
      <c r="F33" s="137">
        <f>C33</f>
        <v>783.1999999999999</v>
      </c>
    </row>
    <row r="34" spans="1:6" ht="13.5">
      <c r="A34" s="80">
        <v>23000000</v>
      </c>
      <c r="B34" s="48" t="s">
        <v>174</v>
      </c>
      <c r="C34" s="136">
        <f>C36</f>
        <v>40</v>
      </c>
      <c r="D34" s="136" t="s">
        <v>155</v>
      </c>
      <c r="E34" s="136" t="s">
        <v>155</v>
      </c>
      <c r="F34" s="137">
        <f>C34</f>
        <v>40</v>
      </c>
    </row>
    <row r="35" spans="1:6" ht="81" hidden="1">
      <c r="A35" s="80">
        <v>23020000</v>
      </c>
      <c r="B35" s="48" t="s">
        <v>186</v>
      </c>
      <c r="C35" s="140" t="s">
        <v>155</v>
      </c>
      <c r="D35" s="140" t="s">
        <v>155</v>
      </c>
      <c r="E35" s="140" t="s">
        <v>155</v>
      </c>
      <c r="F35" s="141" t="s">
        <v>155</v>
      </c>
    </row>
    <row r="36" spans="1:6" ht="13.5">
      <c r="A36" s="80">
        <v>23030000</v>
      </c>
      <c r="B36" s="48" t="s">
        <v>175</v>
      </c>
      <c r="C36" s="138">
        <v>40</v>
      </c>
      <c r="D36" s="136" t="s">
        <v>155</v>
      </c>
      <c r="E36" s="136" t="s">
        <v>155</v>
      </c>
      <c r="F36" s="137">
        <f>C36</f>
        <v>40</v>
      </c>
    </row>
    <row r="37" spans="1:6" ht="13.5">
      <c r="A37" s="80">
        <v>24000000</v>
      </c>
      <c r="B37" s="48" t="s">
        <v>176</v>
      </c>
      <c r="C37" s="138">
        <f>C40</f>
        <v>206</v>
      </c>
      <c r="D37" s="136" t="s">
        <v>155</v>
      </c>
      <c r="E37" s="136" t="s">
        <v>155</v>
      </c>
      <c r="F37" s="137">
        <f>C37</f>
        <v>206</v>
      </c>
    </row>
    <row r="38" spans="1:6" ht="13.5" hidden="1">
      <c r="A38" s="80"/>
      <c r="B38" s="48"/>
      <c r="C38" s="136">
        <v>0</v>
      </c>
      <c r="D38" s="136" t="s">
        <v>155</v>
      </c>
      <c r="E38" s="136" t="s">
        <v>155</v>
      </c>
      <c r="F38" s="137">
        <v>0</v>
      </c>
    </row>
    <row r="39" spans="1:6" ht="54" hidden="1">
      <c r="A39" s="80">
        <v>24030000</v>
      </c>
      <c r="B39" s="48" t="s">
        <v>187</v>
      </c>
      <c r="C39" s="140" t="s">
        <v>155</v>
      </c>
      <c r="D39" s="140" t="s">
        <v>155</v>
      </c>
      <c r="E39" s="140" t="s">
        <v>155</v>
      </c>
      <c r="F39" s="141" t="s">
        <v>155</v>
      </c>
    </row>
    <row r="40" spans="1:6" ht="13.5">
      <c r="A40" s="80">
        <v>24060300</v>
      </c>
      <c r="B40" s="48" t="s">
        <v>177</v>
      </c>
      <c r="C40" s="136">
        <v>206</v>
      </c>
      <c r="D40" s="136" t="s">
        <v>155</v>
      </c>
      <c r="E40" s="136" t="s">
        <v>155</v>
      </c>
      <c r="F40" s="137">
        <f>C40</f>
        <v>206</v>
      </c>
    </row>
    <row r="41" spans="1:6" ht="13.5">
      <c r="A41" s="80">
        <v>25000000</v>
      </c>
      <c r="B41" s="48" t="s">
        <v>178</v>
      </c>
      <c r="C41" s="136" t="s">
        <v>155</v>
      </c>
      <c r="D41" s="138">
        <f>19387.1+197+64.8</f>
        <v>19648.899999999998</v>
      </c>
      <c r="E41" s="136" t="s">
        <v>155</v>
      </c>
      <c r="F41" s="137">
        <f>D41</f>
        <v>19648.899999999998</v>
      </c>
    </row>
    <row r="42" spans="1:6" s="66" customFormat="1" ht="51">
      <c r="A42" s="68">
        <v>31030000</v>
      </c>
      <c r="B42" s="62" t="s">
        <v>179</v>
      </c>
      <c r="C42" s="63" t="s">
        <v>155</v>
      </c>
      <c r="D42" s="142">
        <v>1000</v>
      </c>
      <c r="E42" s="142">
        <f>D42</f>
        <v>1000</v>
      </c>
      <c r="F42" s="67">
        <f>D42</f>
        <v>1000</v>
      </c>
    </row>
    <row r="43" spans="1:6" s="66" customFormat="1" ht="12.75">
      <c r="A43" s="68">
        <v>50000000</v>
      </c>
      <c r="B43" s="62" t="s">
        <v>106</v>
      </c>
      <c r="C43" s="63" t="s">
        <v>155</v>
      </c>
      <c r="D43" s="63">
        <f>D44</f>
        <v>40200</v>
      </c>
      <c r="E43" s="63" t="s">
        <v>155</v>
      </c>
      <c r="F43" s="67">
        <f>D43</f>
        <v>40200</v>
      </c>
    </row>
    <row r="44" spans="1:6" ht="14.25" thickBot="1">
      <c r="A44" s="82">
        <v>50080000</v>
      </c>
      <c r="B44" s="143" t="s">
        <v>180</v>
      </c>
      <c r="C44" s="144" t="s">
        <v>155</v>
      </c>
      <c r="D44" s="145">
        <f>38000+2200</f>
        <v>40200</v>
      </c>
      <c r="E44" s="144" t="s">
        <v>155</v>
      </c>
      <c r="F44" s="146">
        <f>D44</f>
        <v>40200</v>
      </c>
    </row>
    <row r="45" spans="1:6" s="66" customFormat="1" ht="13.5" thickBot="1">
      <c r="A45" s="203" t="s">
        <v>181</v>
      </c>
      <c r="B45" s="204"/>
      <c r="C45" s="147">
        <f>C13+C28</f>
        <v>472029.49999999994</v>
      </c>
      <c r="D45" s="147">
        <f>D13+D28+D42+D43</f>
        <v>90914.3</v>
      </c>
      <c r="E45" s="148">
        <f>E42</f>
        <v>1000</v>
      </c>
      <c r="F45" s="149">
        <f>C45+D45</f>
        <v>562943.7999999999</v>
      </c>
    </row>
    <row r="46" spans="1:6" s="66" customFormat="1" ht="13.5" thickBot="1">
      <c r="A46" s="150"/>
      <c r="B46" s="151"/>
      <c r="C46" s="152"/>
      <c r="D46" s="152"/>
      <c r="E46" s="153"/>
      <c r="F46" s="154"/>
    </row>
    <row r="47" spans="1:6" ht="13.5" thickBot="1">
      <c r="A47" s="155">
        <v>40000000</v>
      </c>
      <c r="B47" s="156" t="s">
        <v>182</v>
      </c>
      <c r="C47" s="148">
        <f>C48+C51+C49+C50</f>
        <v>688005.9</v>
      </c>
      <c r="D47" s="148">
        <f>D51+D69</f>
        <v>79390</v>
      </c>
      <c r="E47" s="148">
        <f>E51+E69</f>
        <v>70152.2</v>
      </c>
      <c r="F47" s="149">
        <f>C47+D47</f>
        <v>767395.9</v>
      </c>
    </row>
    <row r="48" spans="1:6" ht="64.5" customHeight="1">
      <c r="A48" s="157">
        <v>41020600</v>
      </c>
      <c r="B48" s="72" t="s">
        <v>205</v>
      </c>
      <c r="C48" s="158">
        <v>29135.3</v>
      </c>
      <c r="D48" s="158" t="s">
        <v>155</v>
      </c>
      <c r="E48" s="158" t="s">
        <v>155</v>
      </c>
      <c r="F48" s="159">
        <f>C48</f>
        <v>29135.3</v>
      </c>
    </row>
    <row r="49" spans="1:6" ht="80.25" customHeight="1">
      <c r="A49" s="157" t="s">
        <v>258</v>
      </c>
      <c r="B49" s="72" t="s">
        <v>295</v>
      </c>
      <c r="C49" s="158">
        <v>57812.4</v>
      </c>
      <c r="D49" s="158"/>
      <c r="E49" s="158"/>
      <c r="F49" s="159">
        <f>C49</f>
        <v>57812.4</v>
      </c>
    </row>
    <row r="50" spans="1:6" ht="78" customHeight="1">
      <c r="A50" s="157" t="s">
        <v>259</v>
      </c>
      <c r="B50" s="160" t="s">
        <v>280</v>
      </c>
      <c r="C50" s="158">
        <v>1482.5</v>
      </c>
      <c r="D50" s="158"/>
      <c r="E50" s="158"/>
      <c r="F50" s="159">
        <f>C50</f>
        <v>1482.5</v>
      </c>
    </row>
    <row r="51" spans="1:6" ht="12.75">
      <c r="A51" s="68">
        <v>41030000</v>
      </c>
      <c r="B51" s="62" t="s">
        <v>183</v>
      </c>
      <c r="C51" s="63">
        <f>C54+C55+C56+C57+C58+C59+C60+C61+C62+C63+C53+C52+C64+C65+C66+C67+C68</f>
        <v>599575.7</v>
      </c>
      <c r="D51" s="63">
        <f>D54+D55+D56+D57+D58+D59+D60+D61+D62+D63+D53+D52+D64+D65</f>
        <v>9544.3</v>
      </c>
      <c r="E51" s="63">
        <f>E54+E55+E56+E57+E58+E59+E60+E61+E62+E63+E53+E52+E64+E65</f>
        <v>306.5</v>
      </c>
      <c r="F51" s="67">
        <f aca="true" t="shared" si="0" ref="F51:F67">C51+D51</f>
        <v>609120</v>
      </c>
    </row>
    <row r="52" spans="1:6" ht="27">
      <c r="A52" s="80" t="s">
        <v>12</v>
      </c>
      <c r="B52" s="48" t="s">
        <v>13</v>
      </c>
      <c r="C52" s="136">
        <v>43616</v>
      </c>
      <c r="D52" s="136"/>
      <c r="E52" s="136"/>
      <c r="F52" s="137">
        <f>C52+D52</f>
        <v>43616</v>
      </c>
    </row>
    <row r="53" spans="1:6" ht="40.5">
      <c r="A53" s="80" t="s">
        <v>1</v>
      </c>
      <c r="B53" s="48" t="s">
        <v>2</v>
      </c>
      <c r="C53" s="136">
        <f>27940.1-255.2+7.2+352.7+1048.2</f>
        <v>29093</v>
      </c>
      <c r="D53" s="136">
        <f>E53</f>
        <v>306.5</v>
      </c>
      <c r="E53" s="136">
        <f>306.5</f>
        <v>306.5</v>
      </c>
      <c r="F53" s="137">
        <f>C53+D53</f>
        <v>29399.5</v>
      </c>
    </row>
    <row r="54" spans="1:6" ht="54">
      <c r="A54" s="80" t="s">
        <v>222</v>
      </c>
      <c r="B54" s="48" t="s">
        <v>223</v>
      </c>
      <c r="C54" s="136">
        <v>93935.5</v>
      </c>
      <c r="D54" s="136"/>
      <c r="E54" s="136"/>
      <c r="F54" s="137">
        <f t="shared" si="0"/>
        <v>93935.5</v>
      </c>
    </row>
    <row r="55" spans="1:6" ht="184.5" customHeight="1">
      <c r="A55" s="80">
        <v>41030700</v>
      </c>
      <c r="B55" s="114" t="s">
        <v>209</v>
      </c>
      <c r="C55" s="136">
        <v>6692.7</v>
      </c>
      <c r="D55" s="136"/>
      <c r="E55" s="136"/>
      <c r="F55" s="137">
        <f>C55+D55</f>
        <v>6692.7</v>
      </c>
    </row>
    <row r="56" spans="1:6" ht="364.5" customHeight="1">
      <c r="A56" s="80" t="s">
        <v>224</v>
      </c>
      <c r="B56" s="161" t="s">
        <v>49</v>
      </c>
      <c r="C56" s="136">
        <f>173905.7+21355.3</f>
        <v>195261</v>
      </c>
      <c r="D56" s="136"/>
      <c r="E56" s="136"/>
      <c r="F56" s="137">
        <f>C56+D56</f>
        <v>195261</v>
      </c>
    </row>
    <row r="57" spans="1:6" ht="177" customHeight="1">
      <c r="A57" s="80" t="s">
        <v>225</v>
      </c>
      <c r="B57" s="114" t="s">
        <v>47</v>
      </c>
      <c r="C57" s="136">
        <f>60229.2+5144.8</f>
        <v>65374</v>
      </c>
      <c r="D57" s="136"/>
      <c r="E57" s="136"/>
      <c r="F57" s="137">
        <f>C57+D57</f>
        <v>65374</v>
      </c>
    </row>
    <row r="58" spans="1:6" ht="122.25" customHeight="1">
      <c r="A58" s="80" t="s">
        <v>226</v>
      </c>
      <c r="B58" s="120" t="s">
        <v>227</v>
      </c>
      <c r="C58" s="158">
        <v>21042.2</v>
      </c>
      <c r="D58" s="158"/>
      <c r="E58" s="158"/>
      <c r="F58" s="137">
        <f>C58+D58</f>
        <v>21042.2</v>
      </c>
    </row>
    <row r="59" spans="1:6" ht="51.75" customHeight="1">
      <c r="A59" s="157">
        <v>41031900</v>
      </c>
      <c r="B59" s="49" t="s">
        <v>207</v>
      </c>
      <c r="C59" s="158">
        <v>10000</v>
      </c>
      <c r="D59" s="158"/>
      <c r="E59" s="158"/>
      <c r="F59" s="159">
        <f t="shared" si="0"/>
        <v>10000</v>
      </c>
    </row>
    <row r="60" spans="1:6" ht="55.5" customHeight="1">
      <c r="A60" s="80">
        <v>41033900</v>
      </c>
      <c r="B60" s="161" t="s">
        <v>208</v>
      </c>
      <c r="C60" s="136">
        <f>103623-94820.4</f>
        <v>8802.600000000006</v>
      </c>
      <c r="D60" s="136"/>
      <c r="E60" s="136"/>
      <c r="F60" s="137">
        <f t="shared" si="0"/>
        <v>8802.600000000006</v>
      </c>
    </row>
    <row r="61" spans="1:6" ht="27.75" customHeight="1">
      <c r="A61" s="80">
        <v>41034000</v>
      </c>
      <c r="B61" s="114" t="s">
        <v>199</v>
      </c>
      <c r="C61" s="136">
        <v>11000</v>
      </c>
      <c r="D61" s="136"/>
      <c r="E61" s="136"/>
      <c r="F61" s="137">
        <f t="shared" si="0"/>
        <v>11000</v>
      </c>
    </row>
    <row r="62" spans="1:6" ht="40.5">
      <c r="A62" s="80">
        <v>41034500</v>
      </c>
      <c r="B62" s="114" t="s">
        <v>206</v>
      </c>
      <c r="C62" s="136">
        <v>340</v>
      </c>
      <c r="D62" s="136"/>
      <c r="E62" s="136"/>
      <c r="F62" s="137">
        <f t="shared" si="0"/>
        <v>340</v>
      </c>
    </row>
    <row r="63" spans="1:6" ht="40.5">
      <c r="A63" s="80" t="s">
        <v>228</v>
      </c>
      <c r="B63" s="120" t="s">
        <v>229</v>
      </c>
      <c r="C63" s="136"/>
      <c r="D63" s="136">
        <f>9037.8+200</f>
        <v>9237.8</v>
      </c>
      <c r="E63" s="136"/>
      <c r="F63" s="137">
        <f t="shared" si="0"/>
        <v>9237.8</v>
      </c>
    </row>
    <row r="64" spans="1:6" ht="81">
      <c r="A64" s="82" t="s">
        <v>14</v>
      </c>
      <c r="B64" s="114" t="s">
        <v>15</v>
      </c>
      <c r="C64" s="144">
        <v>33441</v>
      </c>
      <c r="D64" s="144"/>
      <c r="E64" s="144"/>
      <c r="F64" s="137">
        <f t="shared" si="0"/>
        <v>33441</v>
      </c>
    </row>
    <row r="65" spans="1:6" ht="13.5">
      <c r="A65" s="82" t="s">
        <v>24</v>
      </c>
      <c r="B65" s="114" t="s">
        <v>8</v>
      </c>
      <c r="C65" s="144">
        <f>2703.7+109+5965</f>
        <v>8777.7</v>
      </c>
      <c r="D65" s="144"/>
      <c r="E65" s="144"/>
      <c r="F65" s="137">
        <f t="shared" si="0"/>
        <v>8777.7</v>
      </c>
    </row>
    <row r="66" spans="1:6" ht="42" customHeight="1">
      <c r="A66" s="82" t="s">
        <v>261</v>
      </c>
      <c r="B66" s="114" t="s">
        <v>296</v>
      </c>
      <c r="C66" s="144">
        <v>42200</v>
      </c>
      <c r="D66" s="144"/>
      <c r="E66" s="144"/>
      <c r="F66" s="137">
        <f t="shared" si="0"/>
        <v>42200</v>
      </c>
    </row>
    <row r="67" spans="1:6" ht="54.75" customHeight="1">
      <c r="A67" s="82" t="s">
        <v>260</v>
      </c>
      <c r="B67" s="120" t="s">
        <v>297</v>
      </c>
      <c r="C67" s="144">
        <v>30000</v>
      </c>
      <c r="D67" s="144"/>
      <c r="E67" s="144"/>
      <c r="F67" s="137">
        <f t="shared" si="0"/>
        <v>30000</v>
      </c>
    </row>
    <row r="68" spans="1:6" ht="27" customHeight="1" hidden="1">
      <c r="A68" s="82"/>
      <c r="B68" s="162"/>
      <c r="C68" s="144"/>
      <c r="D68" s="144"/>
      <c r="E68" s="144"/>
      <c r="F68" s="137"/>
    </row>
    <row r="69" spans="1:6" ht="27.75" customHeight="1" thickBot="1">
      <c r="A69" s="163">
        <v>43010000</v>
      </c>
      <c r="B69" s="164" t="s">
        <v>184</v>
      </c>
      <c r="C69" s="165" t="s">
        <v>155</v>
      </c>
      <c r="D69" s="165">
        <f>60032.7+900+30+1650+119+1500+30+100+4654+300+530</f>
        <v>69845.7</v>
      </c>
      <c r="E69" s="165">
        <f>60032.7+900+30+1650+119+1500+30+100+4654+300+530</f>
        <v>69845.7</v>
      </c>
      <c r="F69" s="166">
        <f>D69</f>
        <v>69845.7</v>
      </c>
    </row>
    <row r="70" spans="1:6" s="66" customFormat="1" ht="13.5" thickBot="1">
      <c r="A70" s="203" t="s">
        <v>185</v>
      </c>
      <c r="B70" s="204"/>
      <c r="C70" s="148">
        <f>C45+C47</f>
        <v>1160035.4</v>
      </c>
      <c r="D70" s="148">
        <f>D45+D47</f>
        <v>170304.3</v>
      </c>
      <c r="E70" s="148">
        <f>E47+E45</f>
        <v>71152.2</v>
      </c>
      <c r="F70" s="149">
        <f>C70+D70</f>
        <v>1330339.7</v>
      </c>
    </row>
    <row r="71" spans="3:10" ht="13.5">
      <c r="C71" s="32">
        <v>1189706.2</v>
      </c>
      <c r="D71" s="32">
        <v>170304.3</v>
      </c>
      <c r="E71" s="168">
        <v>71152.2</v>
      </c>
      <c r="F71" s="32">
        <v>1360010.5</v>
      </c>
      <c r="G71" s="168"/>
      <c r="J71" s="168">
        <v>406.5</v>
      </c>
    </row>
    <row r="72" spans="3:6" ht="11.25">
      <c r="C72" s="167"/>
      <c r="D72" s="167"/>
      <c r="E72" s="168"/>
      <c r="F72" s="168"/>
    </row>
    <row r="74" spans="3:6" ht="11.25">
      <c r="C74" s="168">
        <f>C70-C71</f>
        <v>-29670.800000000047</v>
      </c>
      <c r="F74" s="168">
        <f>F71-F70</f>
        <v>29670.800000000047</v>
      </c>
    </row>
  </sheetData>
  <mergeCells count="10">
    <mergeCell ref="D1:F1"/>
    <mergeCell ref="D2:F2"/>
    <mergeCell ref="D3:F3"/>
    <mergeCell ref="A70:B70"/>
    <mergeCell ref="A45:B45"/>
    <mergeCell ref="E4:F4"/>
    <mergeCell ref="A10:A11"/>
    <mergeCell ref="B10:B11"/>
    <mergeCell ref="C10:C11"/>
    <mergeCell ref="F10:F11"/>
  </mergeCells>
  <printOptions/>
  <pageMargins left="0.5905511811023623" right="0.5905511811023623" top="0.3937007874015748" bottom="0.21" header="0.1968503937007874" footer="0.11811023622047245"/>
  <pageSetup horizontalDpi="600" verticalDpi="600" orientation="portrait" paperSize="9" scale="90" r:id="rId1"/>
  <rowBreaks count="1" manualBreakCount="1">
    <brk id="48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7"/>
  <sheetViews>
    <sheetView view="pageBreakPreview" zoomScale="60" zoomScaleNormal="65" workbookViewId="0" topLeftCell="A8">
      <pane ySplit="4" topLeftCell="BM85" activePane="bottomLeft" state="frozen"/>
      <selection pane="topLeft" activeCell="A8" sqref="A8"/>
      <selection pane="bottomLeft" activeCell="C88" sqref="C88:K88"/>
    </sheetView>
  </sheetViews>
  <sheetFormatPr defaultColWidth="9.00390625" defaultRowHeight="12.75"/>
  <cols>
    <col min="1" max="1" width="8.125" style="69" customWidth="1"/>
    <col min="2" max="2" width="34.375" style="2" customWidth="1"/>
    <col min="3" max="3" width="10.875" style="3" customWidth="1"/>
    <col min="4" max="4" width="9.375" style="3" customWidth="1"/>
    <col min="5" max="5" width="8.25390625" style="3" customWidth="1"/>
    <col min="6" max="6" width="9.625" style="3" customWidth="1"/>
    <col min="7" max="7" width="8.625" style="3" customWidth="1"/>
    <col min="8" max="8" width="9.875" style="3" bestFit="1" customWidth="1"/>
    <col min="9" max="9" width="8.625" style="3" customWidth="1"/>
    <col min="10" max="10" width="6.125" style="3" customWidth="1"/>
    <col min="11" max="11" width="12.00390625" style="3" customWidth="1"/>
    <col min="12" max="12" width="10.75390625" style="3" customWidth="1"/>
    <col min="13" max="16384" width="8.875" style="3" customWidth="1"/>
  </cols>
  <sheetData>
    <row r="1" spans="8:10" ht="12" customHeight="1">
      <c r="H1" s="215" t="s">
        <v>50</v>
      </c>
      <c r="I1" s="215"/>
      <c r="J1" s="215"/>
    </row>
    <row r="2" spans="8:10" ht="16.5" customHeight="1">
      <c r="H2" s="5" t="s">
        <v>51</v>
      </c>
      <c r="I2" s="5"/>
      <c r="J2" s="5"/>
    </row>
    <row r="3" spans="8:11" ht="13.5">
      <c r="H3" s="202" t="s">
        <v>293</v>
      </c>
      <c r="I3" s="202"/>
      <c r="J3" s="202"/>
      <c r="K3" s="202"/>
    </row>
    <row r="5" spans="2:8" ht="13.5" customHeight="1">
      <c r="B5" s="1"/>
      <c r="C5" s="7"/>
      <c r="D5" s="7"/>
      <c r="E5" s="7"/>
      <c r="F5" s="7"/>
      <c r="G5" s="7"/>
      <c r="H5" s="7"/>
    </row>
    <row r="6" spans="1:11" ht="15">
      <c r="A6" s="216" t="s">
        <v>188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</row>
    <row r="7" spans="1:12" ht="15" customHeight="1">
      <c r="A7" s="216" t="s">
        <v>52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8"/>
    </row>
    <row r="8" spans="6:12" ht="14.25" thickBot="1">
      <c r="F8" s="9"/>
      <c r="G8" s="9"/>
      <c r="I8" s="10"/>
      <c r="J8" s="11"/>
      <c r="K8" s="3" t="s">
        <v>190</v>
      </c>
      <c r="L8" s="8"/>
    </row>
    <row r="9" spans="1:12" ht="25.5" customHeight="1" thickBot="1">
      <c r="A9" s="217" t="s">
        <v>53</v>
      </c>
      <c r="B9" s="199" t="s">
        <v>54</v>
      </c>
      <c r="C9" s="201" t="s">
        <v>55</v>
      </c>
      <c r="D9" s="197"/>
      <c r="E9" s="197"/>
      <c r="F9" s="197"/>
      <c r="G9" s="219"/>
      <c r="H9" s="220" t="s">
        <v>56</v>
      </c>
      <c r="I9" s="221"/>
      <c r="J9" s="222"/>
      <c r="K9" s="199" t="s">
        <v>57</v>
      </c>
      <c r="L9" s="12"/>
    </row>
    <row r="10" spans="1:12" ht="24" customHeight="1" thickBot="1">
      <c r="A10" s="218"/>
      <c r="B10" s="200"/>
      <c r="C10" s="224" t="s">
        <v>58</v>
      </c>
      <c r="D10" s="224" t="s">
        <v>59</v>
      </c>
      <c r="E10" s="226"/>
      <c r="F10" s="226"/>
      <c r="G10" s="227"/>
      <c r="H10" s="225" t="s">
        <v>58</v>
      </c>
      <c r="I10" s="13" t="s">
        <v>60</v>
      </c>
      <c r="J10" s="228" t="s">
        <v>61</v>
      </c>
      <c r="K10" s="200"/>
      <c r="L10" s="12"/>
    </row>
    <row r="11" spans="1:12" ht="98.25" customHeight="1" thickBot="1">
      <c r="A11" s="198"/>
      <c r="B11" s="200"/>
      <c r="C11" s="225"/>
      <c r="D11" s="14" t="s">
        <v>62</v>
      </c>
      <c r="E11" s="15" t="s">
        <v>63</v>
      </c>
      <c r="F11" s="15" t="s">
        <v>64</v>
      </c>
      <c r="G11" s="15" t="s">
        <v>65</v>
      </c>
      <c r="H11" s="225"/>
      <c r="I11" s="15" t="s">
        <v>66</v>
      </c>
      <c r="J11" s="229"/>
      <c r="K11" s="223"/>
      <c r="L11" s="12"/>
    </row>
    <row r="12" spans="1:12" ht="14.25" thickBot="1">
      <c r="A12" s="70">
        <v>1</v>
      </c>
      <c r="B12" s="16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8"/>
    </row>
    <row r="13" spans="1:12" s="19" customFormat="1" ht="15.75" customHeight="1">
      <c r="A13" s="74" t="s">
        <v>67</v>
      </c>
      <c r="B13" s="53" t="s">
        <v>68</v>
      </c>
      <c r="C13" s="46">
        <f>C14</f>
        <v>3868.8</v>
      </c>
      <c r="D13" s="46">
        <f aca="true" t="shared" si="0" ref="D13:J13">D14</f>
        <v>559.1</v>
      </c>
      <c r="E13" s="46">
        <f t="shared" si="0"/>
        <v>991.6</v>
      </c>
      <c r="F13" s="46">
        <f>3868.8-D13-E13</f>
        <v>2318.1000000000004</v>
      </c>
      <c r="G13" s="46">
        <f t="shared" si="0"/>
        <v>0</v>
      </c>
      <c r="H13" s="46">
        <f t="shared" si="0"/>
        <v>0</v>
      </c>
      <c r="I13" s="46">
        <f t="shared" si="0"/>
        <v>0</v>
      </c>
      <c r="J13" s="46">
        <f t="shared" si="0"/>
        <v>0</v>
      </c>
      <c r="K13" s="75">
        <f>C13+H13</f>
        <v>3868.8</v>
      </c>
      <c r="L13" s="18"/>
    </row>
    <row r="14" spans="1:13" ht="13.5">
      <c r="A14" s="76" t="s">
        <v>69</v>
      </c>
      <c r="B14" s="20" t="s">
        <v>70</v>
      </c>
      <c r="C14" s="45">
        <f>D14+E14+F14+G14</f>
        <v>3868.8</v>
      </c>
      <c r="D14" s="45">
        <f>539.7+19.4</f>
        <v>559.1</v>
      </c>
      <c r="E14" s="45">
        <v>991.6</v>
      </c>
      <c r="F14" s="45">
        <f>2237.5+80.6</f>
        <v>2318.1</v>
      </c>
      <c r="G14" s="45"/>
      <c r="H14" s="45"/>
      <c r="I14" s="45"/>
      <c r="J14" s="45"/>
      <c r="K14" s="77">
        <f aca="true" t="shared" si="1" ref="K14:K87">C14+H14</f>
        <v>3868.8</v>
      </c>
      <c r="L14" s="8"/>
      <c r="M14" s="21"/>
    </row>
    <row r="15" spans="1:13" ht="25.5" customHeight="1">
      <c r="A15" s="78" t="s">
        <v>71</v>
      </c>
      <c r="B15" s="26" t="s">
        <v>72</v>
      </c>
      <c r="C15" s="46">
        <f>C16</f>
        <v>6803.1</v>
      </c>
      <c r="D15" s="46">
        <f aca="true" t="shared" si="2" ref="D15:I15">D16</f>
        <v>0</v>
      </c>
      <c r="E15" s="46">
        <f t="shared" si="2"/>
        <v>0</v>
      </c>
      <c r="F15" s="46">
        <f t="shared" si="2"/>
        <v>6190</v>
      </c>
      <c r="G15" s="46">
        <f t="shared" si="2"/>
        <v>613.1</v>
      </c>
      <c r="H15" s="46">
        <f t="shared" si="2"/>
        <v>0</v>
      </c>
      <c r="I15" s="46">
        <f t="shared" si="2"/>
        <v>0</v>
      </c>
      <c r="J15" s="46"/>
      <c r="K15" s="75">
        <f t="shared" si="1"/>
        <v>6803.1</v>
      </c>
      <c r="L15" s="8"/>
      <c r="M15" s="21"/>
    </row>
    <row r="16" spans="1:13" ht="25.5" customHeight="1">
      <c r="A16" s="76" t="s">
        <v>73</v>
      </c>
      <c r="B16" s="50" t="s">
        <v>74</v>
      </c>
      <c r="C16" s="45">
        <f>D16+E16+F16+G16</f>
        <v>6803.1</v>
      </c>
      <c r="D16" s="45"/>
      <c r="E16" s="45"/>
      <c r="F16" s="45">
        <f>4200-900+800+1500+590</f>
        <v>6190</v>
      </c>
      <c r="G16" s="45">
        <f>590.1-7+30</f>
        <v>613.1</v>
      </c>
      <c r="H16" s="45"/>
      <c r="I16" s="45"/>
      <c r="J16" s="45"/>
      <c r="K16" s="77">
        <f t="shared" si="1"/>
        <v>6803.1</v>
      </c>
      <c r="L16" s="8"/>
      <c r="M16" s="21"/>
    </row>
    <row r="17" spans="1:12" s="21" customFormat="1" ht="12.75">
      <c r="A17" s="78" t="s">
        <v>75</v>
      </c>
      <c r="B17" s="54" t="s">
        <v>76</v>
      </c>
      <c r="C17" s="46">
        <f>D17+E17+F17+G17</f>
        <v>109153.20000000001</v>
      </c>
      <c r="D17" s="46">
        <f>41584.4+1828.4</f>
        <v>43412.8</v>
      </c>
      <c r="E17" s="46">
        <f>9610+4.6</f>
        <v>9614.6</v>
      </c>
      <c r="F17" s="46">
        <f>43696.4+250+14.9+1600+186.5+2159+1900+50+1587.4</f>
        <v>51444.200000000004</v>
      </c>
      <c r="G17" s="46">
        <f>4713.4+46+5-82.8</f>
        <v>4681.599999999999</v>
      </c>
      <c r="H17" s="46">
        <f>2903.6+266.6+891.8+197+64.8</f>
        <v>4323.8</v>
      </c>
      <c r="I17" s="46"/>
      <c r="J17" s="46"/>
      <c r="K17" s="75">
        <f t="shared" si="1"/>
        <v>113477.00000000001</v>
      </c>
      <c r="L17" s="23"/>
    </row>
    <row r="18" spans="1:12" s="21" customFormat="1" ht="12.75">
      <c r="A18" s="78" t="s">
        <v>77</v>
      </c>
      <c r="B18" s="54" t="s">
        <v>78</v>
      </c>
      <c r="C18" s="46">
        <f>D18+E18+F18+G18</f>
        <v>242844.80000000002</v>
      </c>
      <c r="D18" s="46">
        <f>87906.8+4207</f>
        <v>92113.8</v>
      </c>
      <c r="E18" s="46">
        <v>17357.2</v>
      </c>
      <c r="F18" s="46">
        <f>101629.8+1000+150+1200+1556.6+400+16174+1400</f>
        <v>123510.40000000001</v>
      </c>
      <c r="G18" s="46">
        <f>9687.9-37+7.2+38.6+9+157.7</f>
        <v>9863.400000000001</v>
      </c>
      <c r="H18" s="46">
        <f>8103+10000-10000</f>
        <v>8103</v>
      </c>
      <c r="I18" s="46">
        <f>10000-10000</f>
        <v>0</v>
      </c>
      <c r="J18" s="46"/>
      <c r="K18" s="75">
        <f t="shared" si="1"/>
        <v>250947.80000000002</v>
      </c>
      <c r="L18" s="23"/>
    </row>
    <row r="19" spans="1:12" s="21" customFormat="1" ht="27" customHeight="1">
      <c r="A19" s="78" t="s">
        <v>79</v>
      </c>
      <c r="B19" s="54" t="s">
        <v>80</v>
      </c>
      <c r="C19" s="46">
        <f>C20+C21+C22+C23+C25+C26+C27+C28+C29+C30+C31+C32+C33+C34+C35+C36+C37+C38+C39+C24</f>
        <v>66976.4</v>
      </c>
      <c r="D19" s="46">
        <f>D20+D21+D22+D23+D25+D26+D27+D28+D29+D30+D31+D32+D33+D34+D35+D36+D37+D38+D39</f>
        <v>16501.9</v>
      </c>
      <c r="E19" s="46">
        <f>E20+E21+E22+E23+E25+E26+E27+E28+E29+E30+E31+E32+E33+E34+E35+E36+E37+E38+E39</f>
        <v>5322.900000000001</v>
      </c>
      <c r="F19" s="46">
        <f>F20+F21+F22+F23+F25+F26+F27+F28+F29+F30+F31+F32+F33+F34+F35+F36+F37+F38+F39+F24</f>
        <v>45146.7</v>
      </c>
      <c r="G19" s="46">
        <f>G20+G21+G22+G23+G25+G26+G27+G28+G29+G30+G31+G32+G33+G34+G35+G36+G37+G38+G39</f>
        <v>4.9</v>
      </c>
      <c r="H19" s="46">
        <f>H20+H21+H22+H23+H25+H26+H27+H28+H29+H30+H31+H32+H33+H34+H35+H36+H37+H38+H39+H24</f>
        <v>6757.1</v>
      </c>
      <c r="I19" s="46">
        <f>I20+I21+I22+I23+I25+I26+I27+I28+I29+I30+I31+I32+I33+I34+I35+I36+I37+I38+I39</f>
        <v>0</v>
      </c>
      <c r="J19" s="46"/>
      <c r="K19" s="75">
        <f>C19+H19</f>
        <v>73733.5</v>
      </c>
      <c r="L19" s="23"/>
    </row>
    <row r="20" spans="1:13" ht="27">
      <c r="A20" s="76" t="s">
        <v>81</v>
      </c>
      <c r="B20" s="20" t="s">
        <v>82</v>
      </c>
      <c r="C20" s="45">
        <f>D20+E20+F20</f>
        <v>9.6</v>
      </c>
      <c r="D20" s="45"/>
      <c r="E20" s="45"/>
      <c r="F20" s="45">
        <v>9.6</v>
      </c>
      <c r="G20" s="45"/>
      <c r="H20" s="45"/>
      <c r="I20" s="45"/>
      <c r="J20" s="45"/>
      <c r="K20" s="77">
        <f t="shared" si="1"/>
        <v>9.6</v>
      </c>
      <c r="L20" s="8"/>
      <c r="M20" s="21"/>
    </row>
    <row r="21" spans="1:13" ht="27">
      <c r="A21" s="76" t="s">
        <v>270</v>
      </c>
      <c r="B21" s="20" t="s">
        <v>271</v>
      </c>
      <c r="C21" s="45">
        <f>D21+E21+F21</f>
        <v>8802.600000000006</v>
      </c>
      <c r="D21" s="45"/>
      <c r="E21" s="45"/>
      <c r="F21" s="45">
        <f>103623-94820.4</f>
        <v>8802.600000000006</v>
      </c>
      <c r="G21" s="45"/>
      <c r="H21" s="45"/>
      <c r="I21" s="45"/>
      <c r="J21" s="45"/>
      <c r="K21" s="77">
        <f t="shared" si="1"/>
        <v>8802.600000000006</v>
      </c>
      <c r="L21" s="8"/>
      <c r="M21" s="21"/>
    </row>
    <row r="22" spans="1:13" ht="25.5" customHeight="1">
      <c r="A22" s="76" t="s">
        <v>83</v>
      </c>
      <c r="B22" s="20" t="s">
        <v>84</v>
      </c>
      <c r="C22" s="45">
        <f>D22+E22+F22+G22</f>
        <v>1110.9</v>
      </c>
      <c r="D22" s="45"/>
      <c r="E22" s="45"/>
      <c r="F22" s="45">
        <f>27+50+720+13+256+10+30</f>
        <v>1106</v>
      </c>
      <c r="G22" s="45">
        <v>4.9</v>
      </c>
      <c r="H22" s="45">
        <v>205</v>
      </c>
      <c r="I22" s="45"/>
      <c r="J22" s="45"/>
      <c r="K22" s="77">
        <f t="shared" si="1"/>
        <v>1315.9</v>
      </c>
      <c r="L22" s="8"/>
      <c r="M22" s="21"/>
    </row>
    <row r="23" spans="1:13" ht="38.25" customHeight="1">
      <c r="A23" s="76" t="s">
        <v>85</v>
      </c>
      <c r="B23" s="20" t="s">
        <v>86</v>
      </c>
      <c r="C23" s="45">
        <f aca="true" t="shared" si="3" ref="C23:C39">D23+E23+F23</f>
        <v>1012.4000000000001</v>
      </c>
      <c r="D23" s="45"/>
      <c r="E23" s="45"/>
      <c r="F23" s="45">
        <f>518.7+493.7</f>
        <v>1012.4000000000001</v>
      </c>
      <c r="G23" s="45"/>
      <c r="H23" s="45"/>
      <c r="I23" s="45"/>
      <c r="J23" s="45"/>
      <c r="K23" s="77">
        <f t="shared" si="1"/>
        <v>1012.4000000000001</v>
      </c>
      <c r="L23" s="8"/>
      <c r="M23" s="21"/>
    </row>
    <row r="24" spans="1:13" ht="26.25" customHeight="1">
      <c r="A24" s="76" t="s">
        <v>26</v>
      </c>
      <c r="B24" s="20" t="s">
        <v>27</v>
      </c>
      <c r="C24" s="45">
        <f t="shared" si="3"/>
        <v>1068.3</v>
      </c>
      <c r="D24" s="45"/>
      <c r="E24" s="45"/>
      <c r="F24" s="45">
        <v>1068.3</v>
      </c>
      <c r="G24" s="45"/>
      <c r="H24" s="45"/>
      <c r="I24" s="45"/>
      <c r="J24" s="45"/>
      <c r="K24" s="77">
        <f t="shared" si="1"/>
        <v>1068.3</v>
      </c>
      <c r="L24" s="8"/>
      <c r="M24" s="21"/>
    </row>
    <row r="25" spans="1:13" ht="27">
      <c r="A25" s="76" t="s">
        <v>272</v>
      </c>
      <c r="B25" s="20" t="s">
        <v>273</v>
      </c>
      <c r="C25" s="45">
        <f t="shared" si="3"/>
        <v>8203.5</v>
      </c>
      <c r="D25" s="45">
        <f>2746.1+171.7</f>
        <v>2917.7999999999997</v>
      </c>
      <c r="E25" s="45">
        <v>657.8</v>
      </c>
      <c r="F25" s="45">
        <f>4220.3+63.6+502-158</f>
        <v>4627.900000000001</v>
      </c>
      <c r="G25" s="45"/>
      <c r="H25" s="45">
        <v>435.4</v>
      </c>
      <c r="I25" s="45"/>
      <c r="J25" s="45"/>
      <c r="K25" s="77">
        <f t="shared" si="1"/>
        <v>8638.9</v>
      </c>
      <c r="L25" s="8"/>
      <c r="M25" s="21"/>
    </row>
    <row r="26" spans="1:13" ht="13.5">
      <c r="A26" s="76" t="s">
        <v>91</v>
      </c>
      <c r="B26" s="20" t="s">
        <v>92</v>
      </c>
      <c r="C26" s="45">
        <f>D26+E26+F26</f>
        <v>6148.7</v>
      </c>
      <c r="D26" s="45">
        <v>2096.7</v>
      </c>
      <c r="E26" s="45">
        <v>669</v>
      </c>
      <c r="F26" s="45">
        <v>3383</v>
      </c>
      <c r="G26" s="45"/>
      <c r="H26" s="45">
        <v>13.2</v>
      </c>
      <c r="I26" s="45"/>
      <c r="J26" s="45"/>
      <c r="K26" s="77">
        <f>C26+H26</f>
        <v>6161.9</v>
      </c>
      <c r="L26" s="8"/>
      <c r="M26" s="21"/>
    </row>
    <row r="27" spans="1:13" ht="40.5">
      <c r="A27" s="76" t="s">
        <v>274</v>
      </c>
      <c r="B27" s="20" t="s">
        <v>275</v>
      </c>
      <c r="C27" s="45">
        <f>D27+E27+F27</f>
        <v>36136.299999999996</v>
      </c>
      <c r="D27" s="45">
        <f>9812.9+494.8+74.4</f>
        <v>10382.099999999999</v>
      </c>
      <c r="E27" s="45">
        <f>3796.7+78.8</f>
        <v>3875.5</v>
      </c>
      <c r="F27" s="45">
        <f>19224.8+183.1+2716+410-502-153.2</f>
        <v>21878.699999999997</v>
      </c>
      <c r="G27" s="45"/>
      <c r="H27" s="45">
        <v>5906.5</v>
      </c>
      <c r="I27" s="45"/>
      <c r="J27" s="45"/>
      <c r="K27" s="77">
        <f>C27+H27</f>
        <v>42042.799999999996</v>
      </c>
      <c r="L27" s="8"/>
      <c r="M27" s="21"/>
    </row>
    <row r="28" spans="1:13" ht="27">
      <c r="A28" s="76" t="s">
        <v>243</v>
      </c>
      <c r="B28" s="20" t="s">
        <v>244</v>
      </c>
      <c r="C28" s="45">
        <f t="shared" si="3"/>
        <v>281.9</v>
      </c>
      <c r="D28" s="45">
        <v>155.7</v>
      </c>
      <c r="E28" s="45">
        <v>11</v>
      </c>
      <c r="F28" s="45">
        <v>115.2</v>
      </c>
      <c r="G28" s="45"/>
      <c r="H28" s="45"/>
      <c r="I28" s="45"/>
      <c r="J28" s="45"/>
      <c r="K28" s="77">
        <f t="shared" si="1"/>
        <v>281.9</v>
      </c>
      <c r="L28" s="8"/>
      <c r="M28" s="21"/>
    </row>
    <row r="29" spans="1:13" ht="27">
      <c r="A29" s="76" t="s">
        <v>245</v>
      </c>
      <c r="B29" s="20" t="s">
        <v>276</v>
      </c>
      <c r="C29" s="45">
        <f t="shared" si="3"/>
        <v>152.7</v>
      </c>
      <c r="D29" s="45"/>
      <c r="E29" s="45">
        <v>3.5</v>
      </c>
      <c r="F29" s="45">
        <f>152.7-3.5</f>
        <v>149.2</v>
      </c>
      <c r="G29" s="45"/>
      <c r="H29" s="45"/>
      <c r="I29" s="45"/>
      <c r="J29" s="45"/>
      <c r="K29" s="77">
        <f t="shared" si="1"/>
        <v>152.7</v>
      </c>
      <c r="L29" s="8"/>
      <c r="M29" s="21"/>
    </row>
    <row r="30" spans="1:13" ht="40.5">
      <c r="A30" s="76" t="s">
        <v>246</v>
      </c>
      <c r="B30" s="20" t="s">
        <v>277</v>
      </c>
      <c r="C30" s="45">
        <f t="shared" si="3"/>
        <v>408.1</v>
      </c>
      <c r="D30" s="45"/>
      <c r="E30" s="45"/>
      <c r="F30" s="45">
        <f>374.1-48.1+82.1</f>
        <v>408.1</v>
      </c>
      <c r="G30" s="45"/>
      <c r="H30" s="45"/>
      <c r="I30" s="45"/>
      <c r="J30" s="45"/>
      <c r="K30" s="77">
        <f t="shared" si="1"/>
        <v>408.1</v>
      </c>
      <c r="L30" s="8"/>
      <c r="M30" s="21"/>
    </row>
    <row r="31" spans="1:13" ht="40.5">
      <c r="A31" s="76" t="s">
        <v>247</v>
      </c>
      <c r="B31" s="20" t="s">
        <v>278</v>
      </c>
      <c r="C31" s="45">
        <f t="shared" si="3"/>
        <v>30</v>
      </c>
      <c r="D31" s="45"/>
      <c r="E31" s="45"/>
      <c r="F31" s="45">
        <v>30</v>
      </c>
      <c r="G31" s="45"/>
      <c r="H31" s="45"/>
      <c r="I31" s="45"/>
      <c r="J31" s="45"/>
      <c r="K31" s="77">
        <f t="shared" si="1"/>
        <v>30</v>
      </c>
      <c r="L31" s="8"/>
      <c r="M31" s="21"/>
    </row>
    <row r="32" spans="1:13" ht="27">
      <c r="A32" s="76" t="s">
        <v>249</v>
      </c>
      <c r="B32" s="20" t="s">
        <v>250</v>
      </c>
      <c r="C32" s="45">
        <f t="shared" si="3"/>
        <v>500.4</v>
      </c>
      <c r="D32" s="45">
        <f>105.2+7.9+20.1</f>
        <v>133.20000000000002</v>
      </c>
      <c r="E32" s="45">
        <f>14+2+0.6</f>
        <v>16.6</v>
      </c>
      <c r="F32" s="45">
        <f>301.7-2+3+28+20.5-0.6</f>
        <v>350.59999999999997</v>
      </c>
      <c r="G32" s="45"/>
      <c r="H32" s="45"/>
      <c r="I32" s="45"/>
      <c r="J32" s="45"/>
      <c r="K32" s="77">
        <f t="shared" si="1"/>
        <v>500.4</v>
      </c>
      <c r="L32" s="8"/>
      <c r="M32" s="21"/>
    </row>
    <row r="33" spans="1:13" ht="13.5">
      <c r="A33" s="76" t="s">
        <v>251</v>
      </c>
      <c r="B33" s="20" t="s">
        <v>252</v>
      </c>
      <c r="C33" s="45">
        <f t="shared" si="3"/>
        <v>300.9</v>
      </c>
      <c r="D33" s="45">
        <f>38.1+0.7</f>
        <v>38.800000000000004</v>
      </c>
      <c r="E33" s="45">
        <v>21.1</v>
      </c>
      <c r="F33" s="45">
        <f>150-59.2+0.2+150</f>
        <v>241</v>
      </c>
      <c r="G33" s="45"/>
      <c r="H33" s="45"/>
      <c r="I33" s="45"/>
      <c r="J33" s="45"/>
      <c r="K33" s="77">
        <f t="shared" si="1"/>
        <v>300.9</v>
      </c>
      <c r="L33" s="8"/>
      <c r="M33" s="21"/>
    </row>
    <row r="34" spans="1:13" ht="40.5">
      <c r="A34" s="76" t="s">
        <v>253</v>
      </c>
      <c r="B34" s="20" t="s">
        <v>254</v>
      </c>
      <c r="C34" s="45">
        <f t="shared" si="3"/>
        <v>40</v>
      </c>
      <c r="D34" s="45"/>
      <c r="E34" s="45"/>
      <c r="F34" s="45">
        <v>40</v>
      </c>
      <c r="G34" s="45"/>
      <c r="H34" s="45"/>
      <c r="I34" s="45"/>
      <c r="J34" s="45"/>
      <c r="K34" s="77">
        <f t="shared" si="1"/>
        <v>40</v>
      </c>
      <c r="L34" s="8"/>
      <c r="M34" s="21"/>
    </row>
    <row r="35" spans="1:13" ht="91.5" customHeight="1">
      <c r="A35" s="76" t="s">
        <v>87</v>
      </c>
      <c r="B35" s="20" t="s">
        <v>195</v>
      </c>
      <c r="C35" s="45">
        <f>D35+E35+F35</f>
        <v>500</v>
      </c>
      <c r="D35" s="45"/>
      <c r="E35" s="45"/>
      <c r="F35" s="45">
        <v>500</v>
      </c>
      <c r="G35" s="45"/>
      <c r="H35" s="45"/>
      <c r="I35" s="45"/>
      <c r="J35" s="45"/>
      <c r="K35" s="77">
        <f>C35+H35</f>
        <v>500</v>
      </c>
      <c r="L35" s="8"/>
      <c r="M35" s="21"/>
    </row>
    <row r="36" spans="1:13" ht="27">
      <c r="A36" s="76" t="s">
        <v>88</v>
      </c>
      <c r="B36" s="20" t="s">
        <v>89</v>
      </c>
      <c r="C36" s="45">
        <f>D36+E36+F36</f>
        <v>100.1</v>
      </c>
      <c r="D36" s="45"/>
      <c r="E36" s="45"/>
      <c r="F36" s="45">
        <f>50.1+50</f>
        <v>100.1</v>
      </c>
      <c r="G36" s="45"/>
      <c r="H36" s="45"/>
      <c r="I36" s="45"/>
      <c r="J36" s="45"/>
      <c r="K36" s="77">
        <f>C36+H36</f>
        <v>100.1</v>
      </c>
      <c r="L36" s="8"/>
      <c r="M36" s="21"/>
    </row>
    <row r="37" spans="1:13" ht="40.5">
      <c r="A37" s="76" t="s">
        <v>279</v>
      </c>
      <c r="B37" s="20" t="s">
        <v>281</v>
      </c>
      <c r="C37" s="45">
        <f>D37+E37+F37</f>
        <v>12.1</v>
      </c>
      <c r="D37" s="45">
        <v>8.6</v>
      </c>
      <c r="E37" s="45"/>
      <c r="F37" s="45">
        <v>3.5</v>
      </c>
      <c r="G37" s="45"/>
      <c r="H37" s="45"/>
      <c r="I37" s="45"/>
      <c r="J37" s="45"/>
      <c r="K37" s="77">
        <f>C37+H37</f>
        <v>12.1</v>
      </c>
      <c r="L37" s="8"/>
      <c r="M37" s="21"/>
    </row>
    <row r="38" spans="1:13" ht="13.5">
      <c r="A38" s="76" t="s">
        <v>255</v>
      </c>
      <c r="B38" s="20" t="s">
        <v>256</v>
      </c>
      <c r="C38" s="45">
        <f t="shared" si="3"/>
        <v>26.700000000000003</v>
      </c>
      <c r="D38" s="45">
        <f>16.6+0.9</f>
        <v>17.5</v>
      </c>
      <c r="E38" s="45"/>
      <c r="F38" s="45">
        <f>8.9+0.3</f>
        <v>9.200000000000001</v>
      </c>
      <c r="G38" s="45"/>
      <c r="H38" s="45"/>
      <c r="I38" s="45"/>
      <c r="J38" s="45"/>
      <c r="K38" s="77">
        <f t="shared" si="1"/>
        <v>26.700000000000003</v>
      </c>
      <c r="L38" s="8"/>
      <c r="M38" s="21"/>
    </row>
    <row r="39" spans="1:13" ht="27.75" customHeight="1">
      <c r="A39" s="76" t="s">
        <v>90</v>
      </c>
      <c r="B39" s="24" t="s">
        <v>283</v>
      </c>
      <c r="C39" s="45">
        <f t="shared" si="3"/>
        <v>2131.2</v>
      </c>
      <c r="D39" s="45">
        <f>750.8+0.7</f>
        <v>751.5</v>
      </c>
      <c r="E39" s="45">
        <v>68.4</v>
      </c>
      <c r="F39" s="45">
        <f>1153+0.3+158</f>
        <v>1311.3</v>
      </c>
      <c r="G39" s="45"/>
      <c r="H39" s="45">
        <v>197</v>
      </c>
      <c r="I39" s="45"/>
      <c r="J39" s="45"/>
      <c r="K39" s="77">
        <f t="shared" si="1"/>
        <v>2328.2</v>
      </c>
      <c r="L39" s="8"/>
      <c r="M39" s="21"/>
    </row>
    <row r="40" spans="1:12" s="21" customFormat="1" ht="12.75">
      <c r="A40" s="78">
        <v>100000</v>
      </c>
      <c r="B40" s="26" t="s">
        <v>93</v>
      </c>
      <c r="C40" s="46">
        <f>D40+E40+F40+G40</f>
        <v>39546.6</v>
      </c>
      <c r="D40" s="46"/>
      <c r="E40" s="46"/>
      <c r="F40" s="46">
        <f>10000+1000+5100+14200+1194-1600-1194+501.3+1000+1194</f>
        <v>31395.3</v>
      </c>
      <c r="G40" s="46">
        <f>8537.5-765.3+358.1+21</f>
        <v>8151.3</v>
      </c>
      <c r="H40" s="46"/>
      <c r="I40" s="46"/>
      <c r="J40" s="46"/>
      <c r="K40" s="75">
        <f t="shared" si="1"/>
        <v>39546.6</v>
      </c>
      <c r="L40" s="23"/>
    </row>
    <row r="41" spans="1:12" s="21" customFormat="1" ht="54">
      <c r="A41" s="76" t="s">
        <v>38</v>
      </c>
      <c r="B41" s="20" t="s">
        <v>37</v>
      </c>
      <c r="C41" s="45">
        <f>F41</f>
        <v>3500</v>
      </c>
      <c r="D41" s="45"/>
      <c r="E41" s="45"/>
      <c r="F41" s="45">
        <v>3500</v>
      </c>
      <c r="G41" s="46"/>
      <c r="H41" s="46"/>
      <c r="I41" s="46"/>
      <c r="J41" s="46"/>
      <c r="K41" s="75">
        <f t="shared" si="1"/>
        <v>3500</v>
      </c>
      <c r="L41" s="23"/>
    </row>
    <row r="42" spans="1:12" s="21" customFormat="1" ht="15" customHeight="1">
      <c r="A42" s="68">
        <v>110000</v>
      </c>
      <c r="B42" s="26" t="s">
        <v>237</v>
      </c>
      <c r="C42" s="46">
        <f>D42+E42+F42+G42</f>
        <v>36554.6</v>
      </c>
      <c r="D42" s="47">
        <f>1703.5+44</f>
        <v>1747.5</v>
      </c>
      <c r="E42" s="47">
        <v>418.2</v>
      </c>
      <c r="F42" s="47">
        <f>25352.3+3995.3+555.3+930</f>
        <v>30832.899999999998</v>
      </c>
      <c r="G42" s="47">
        <f>G43+G44+G45</f>
        <v>3556</v>
      </c>
      <c r="H42" s="47">
        <v>465</v>
      </c>
      <c r="I42" s="47"/>
      <c r="J42" s="47"/>
      <c r="K42" s="79">
        <f t="shared" si="1"/>
        <v>37019.6</v>
      </c>
      <c r="L42" s="23"/>
    </row>
    <row r="43" spans="1:13" ht="15" customHeight="1">
      <c r="A43" s="80" t="s">
        <v>233</v>
      </c>
      <c r="B43" s="20" t="s">
        <v>235</v>
      </c>
      <c r="C43" s="30">
        <f>D43+E43+F43+G43</f>
        <v>22570.3</v>
      </c>
      <c r="D43" s="30"/>
      <c r="E43" s="30"/>
      <c r="F43" s="30">
        <f>14416.9+3724+468.3+31.1+430</f>
        <v>19070.3</v>
      </c>
      <c r="G43" s="30">
        <f>2000+500+1000</f>
        <v>3500</v>
      </c>
      <c r="H43" s="30"/>
      <c r="I43" s="30"/>
      <c r="J43" s="30"/>
      <c r="K43" s="81">
        <f t="shared" si="1"/>
        <v>22570.3</v>
      </c>
      <c r="L43" s="8"/>
      <c r="M43" s="21"/>
    </row>
    <row r="44" spans="1:13" ht="40.5">
      <c r="A44" s="80" t="s">
        <v>234</v>
      </c>
      <c r="B44" s="20" t="s">
        <v>236</v>
      </c>
      <c r="C44" s="30">
        <f>D44+E44+F44+G44</f>
        <v>7374.2</v>
      </c>
      <c r="D44" s="30"/>
      <c r="E44" s="30"/>
      <c r="F44" s="30">
        <f>6736+98+65.3-81.1+500</f>
        <v>7318.2</v>
      </c>
      <c r="G44" s="30">
        <v>56</v>
      </c>
      <c r="H44" s="30"/>
      <c r="I44" s="30"/>
      <c r="J44" s="30"/>
      <c r="K44" s="81">
        <f t="shared" si="1"/>
        <v>7374.2</v>
      </c>
      <c r="L44" s="8"/>
      <c r="M44" s="21"/>
    </row>
    <row r="45" spans="1:13" ht="13.5">
      <c r="A45" s="80">
        <v>110300</v>
      </c>
      <c r="B45" s="20" t="s">
        <v>94</v>
      </c>
      <c r="C45" s="30">
        <f>D45+E45+F45</f>
        <v>304.3</v>
      </c>
      <c r="D45" s="30"/>
      <c r="E45" s="30"/>
      <c r="F45" s="30">
        <f>200+49+5.3+50</f>
        <v>304.3</v>
      </c>
      <c r="G45" s="30"/>
      <c r="H45" s="30"/>
      <c r="I45" s="30"/>
      <c r="J45" s="30"/>
      <c r="K45" s="81">
        <f t="shared" si="1"/>
        <v>304.3</v>
      </c>
      <c r="L45" s="8"/>
      <c r="M45" s="21"/>
    </row>
    <row r="46" spans="1:12" s="21" customFormat="1" ht="12.75">
      <c r="A46" s="68">
        <v>120000</v>
      </c>
      <c r="B46" s="59" t="s">
        <v>95</v>
      </c>
      <c r="C46" s="47">
        <f>C47+C48</f>
        <v>5408.3</v>
      </c>
      <c r="D46" s="47">
        <f>D47+D48</f>
        <v>0</v>
      </c>
      <c r="E46" s="47">
        <f>E47+E48</f>
        <v>0</v>
      </c>
      <c r="F46" s="47">
        <f>F47+F48</f>
        <v>4298.3</v>
      </c>
      <c r="G46" s="47">
        <f>G47+G48</f>
        <v>1110</v>
      </c>
      <c r="H46" s="47"/>
      <c r="I46" s="47"/>
      <c r="J46" s="47"/>
      <c r="K46" s="79">
        <f t="shared" si="1"/>
        <v>5408.3</v>
      </c>
      <c r="L46" s="23"/>
    </row>
    <row r="47" spans="1:13" ht="24" customHeight="1">
      <c r="A47" s="80">
        <v>120201</v>
      </c>
      <c r="B47" s="20" t="s">
        <v>96</v>
      </c>
      <c r="C47" s="30">
        <f>D47+E47+F47+G47</f>
        <v>4287</v>
      </c>
      <c r="D47" s="30"/>
      <c r="E47" s="30"/>
      <c r="F47" s="30">
        <f>4200-623-400</f>
        <v>3177</v>
      </c>
      <c r="G47" s="30">
        <f>1201-49-42</f>
        <v>1110</v>
      </c>
      <c r="H47" s="30"/>
      <c r="I47" s="30"/>
      <c r="J47" s="30"/>
      <c r="K47" s="81">
        <f t="shared" si="1"/>
        <v>4287</v>
      </c>
      <c r="L47" s="8"/>
      <c r="M47" s="21"/>
    </row>
    <row r="48" spans="1:13" ht="15" customHeight="1">
      <c r="A48" s="80">
        <v>120300</v>
      </c>
      <c r="B48" s="20" t="s">
        <v>97</v>
      </c>
      <c r="C48" s="30">
        <f>D48+E48+F48</f>
        <v>1121.3</v>
      </c>
      <c r="D48" s="30"/>
      <c r="E48" s="30"/>
      <c r="F48" s="30">
        <f>498.3+623</f>
        <v>1121.3</v>
      </c>
      <c r="G48" s="30"/>
      <c r="H48" s="30"/>
      <c r="I48" s="30"/>
      <c r="J48" s="30"/>
      <c r="K48" s="81">
        <f t="shared" si="1"/>
        <v>1121.3</v>
      </c>
      <c r="L48" s="8"/>
      <c r="M48" s="21"/>
    </row>
    <row r="49" spans="1:12" s="21" customFormat="1" ht="15" customHeight="1">
      <c r="A49" s="68">
        <v>130000</v>
      </c>
      <c r="B49" s="26" t="s">
        <v>98</v>
      </c>
      <c r="C49" s="47">
        <f>D49+E49+F49+G49</f>
        <v>19220.700000000004</v>
      </c>
      <c r="D49" s="47">
        <f>1615.1+2</f>
        <v>1617.1</v>
      </c>
      <c r="E49" s="47">
        <v>24.8</v>
      </c>
      <c r="F49" s="47">
        <f>14320.2+1700+234.6+335+1000-50</f>
        <v>17539.800000000003</v>
      </c>
      <c r="G49" s="47">
        <v>39</v>
      </c>
      <c r="H49" s="47"/>
      <c r="I49" s="47"/>
      <c r="J49" s="47"/>
      <c r="K49" s="79">
        <f t="shared" si="1"/>
        <v>19220.700000000004</v>
      </c>
      <c r="L49" s="23"/>
    </row>
    <row r="50" spans="1:12" s="21" customFormat="1" ht="15" customHeight="1">
      <c r="A50" s="68">
        <v>150000</v>
      </c>
      <c r="B50" s="26" t="s">
        <v>99</v>
      </c>
      <c r="C50" s="47">
        <f>C51+C53+C54+C55+C52</f>
        <v>0</v>
      </c>
      <c r="D50" s="47">
        <f>D51+D53+D54+D55+D52</f>
        <v>0</v>
      </c>
      <c r="E50" s="47">
        <f>E51+E53+E54+E55+E52</f>
        <v>0</v>
      </c>
      <c r="F50" s="47">
        <f>F51+F53+F54+F55+F52</f>
        <v>0</v>
      </c>
      <c r="G50" s="47">
        <f>G51+G53+G54+G55+G52</f>
        <v>0</v>
      </c>
      <c r="H50" s="47">
        <f>H51+H53+H54+H55+H52+H56</f>
        <v>71062.2</v>
      </c>
      <c r="I50" s="47">
        <f>I51+I53+I54+I55+I52+I56</f>
        <v>71062.2</v>
      </c>
      <c r="J50" s="47">
        <f>J51</f>
        <v>406.5</v>
      </c>
      <c r="K50" s="79">
        <f>H50+C50</f>
        <v>71062.2</v>
      </c>
      <c r="L50" s="23"/>
    </row>
    <row r="51" spans="1:13" ht="12.75" customHeight="1">
      <c r="A51" s="80">
        <v>150101</v>
      </c>
      <c r="B51" s="20" t="s">
        <v>100</v>
      </c>
      <c r="C51" s="30">
        <f aca="true" t="shared" si="4" ref="C51:C56">D51+E51+F51</f>
        <v>0</v>
      </c>
      <c r="D51" s="30"/>
      <c r="E51" s="30"/>
      <c r="F51" s="30">
        <f>1194-1194</f>
        <v>0</v>
      </c>
      <c r="G51" s="30"/>
      <c r="H51" s="30">
        <f>11000+20000+340+6692.7+12000+900+1000-11000-340-6692.7-2000-500+406.5+1500-100+100+4654+300+500</f>
        <v>38760.5</v>
      </c>
      <c r="I51" s="30">
        <f>H51</f>
        <v>38760.5</v>
      </c>
      <c r="J51" s="30">
        <f>406.5-100+100</f>
        <v>406.5</v>
      </c>
      <c r="K51" s="81">
        <f t="shared" si="1"/>
        <v>38760.5</v>
      </c>
      <c r="L51" s="8"/>
      <c r="M51" s="21"/>
    </row>
    <row r="52" spans="1:13" ht="219" customHeight="1">
      <c r="A52" s="80" t="s">
        <v>282</v>
      </c>
      <c r="B52" s="114" t="s">
        <v>288</v>
      </c>
      <c r="C52" s="30">
        <f t="shared" si="4"/>
        <v>0</v>
      </c>
      <c r="D52" s="30"/>
      <c r="E52" s="30"/>
      <c r="F52" s="60"/>
      <c r="G52" s="60"/>
      <c r="H52" s="103">
        <f>I52</f>
        <v>6692.7</v>
      </c>
      <c r="I52" s="60">
        <v>6692.7</v>
      </c>
      <c r="J52" s="30"/>
      <c r="K52" s="81">
        <f t="shared" si="1"/>
        <v>6692.7</v>
      </c>
      <c r="L52" s="8"/>
      <c r="M52" s="21"/>
    </row>
    <row r="53" spans="1:13" ht="40.5">
      <c r="A53" s="102" t="s">
        <v>266</v>
      </c>
      <c r="B53" s="120" t="s">
        <v>265</v>
      </c>
      <c r="C53" s="45">
        <f t="shared" si="4"/>
        <v>0</v>
      </c>
      <c r="D53" s="103"/>
      <c r="E53" s="103"/>
      <c r="F53" s="30"/>
      <c r="G53" s="30"/>
      <c r="H53" s="30">
        <f>I53</f>
        <v>2840</v>
      </c>
      <c r="I53" s="30">
        <f>340+2000+500</f>
        <v>2840</v>
      </c>
      <c r="J53" s="103"/>
      <c r="K53" s="77">
        <f t="shared" si="1"/>
        <v>2840</v>
      </c>
      <c r="L53" s="8"/>
      <c r="M53" s="21"/>
    </row>
    <row r="54" spans="1:13" ht="54">
      <c r="A54" s="80" t="s">
        <v>269</v>
      </c>
      <c r="B54" s="114" t="s">
        <v>287</v>
      </c>
      <c r="C54" s="30">
        <f t="shared" si="4"/>
        <v>0</v>
      </c>
      <c r="D54" s="30"/>
      <c r="E54" s="30"/>
      <c r="F54" s="30"/>
      <c r="G54" s="30"/>
      <c r="H54" s="30">
        <f>I54</f>
        <v>10000</v>
      </c>
      <c r="I54" s="30">
        <v>10000</v>
      </c>
      <c r="J54" s="30"/>
      <c r="K54" s="81">
        <f t="shared" si="1"/>
        <v>10000</v>
      </c>
      <c r="L54" s="8"/>
      <c r="M54" s="21"/>
    </row>
    <row r="55" spans="1:13" ht="12.75" customHeight="1">
      <c r="A55" s="80" t="s">
        <v>267</v>
      </c>
      <c r="B55" s="20" t="s">
        <v>268</v>
      </c>
      <c r="C55" s="30">
        <f t="shared" si="4"/>
        <v>0</v>
      </c>
      <c r="D55" s="30"/>
      <c r="E55" s="30"/>
      <c r="F55" s="30"/>
      <c r="G55" s="30"/>
      <c r="H55" s="30">
        <f>I55</f>
        <v>11000</v>
      </c>
      <c r="I55" s="30">
        <v>11000</v>
      </c>
      <c r="J55" s="30"/>
      <c r="K55" s="81">
        <f t="shared" si="1"/>
        <v>11000</v>
      </c>
      <c r="L55" s="8"/>
      <c r="M55" s="21"/>
    </row>
    <row r="56" spans="1:13" ht="12.75" customHeight="1">
      <c r="A56" s="80" t="s">
        <v>18</v>
      </c>
      <c r="B56" s="20" t="s">
        <v>19</v>
      </c>
      <c r="C56" s="30">
        <f t="shared" si="4"/>
        <v>0</v>
      </c>
      <c r="D56" s="30"/>
      <c r="E56" s="30"/>
      <c r="F56" s="30"/>
      <c r="G56" s="30"/>
      <c r="H56" s="30">
        <f>I56</f>
        <v>1769</v>
      </c>
      <c r="I56" s="30">
        <f>1650+119</f>
        <v>1769</v>
      </c>
      <c r="J56" s="30"/>
      <c r="K56" s="81">
        <f t="shared" si="1"/>
        <v>1769</v>
      </c>
      <c r="L56" s="8"/>
      <c r="M56" s="21"/>
    </row>
    <row r="57" spans="1:12" s="21" customFormat="1" ht="24.75" customHeight="1">
      <c r="A57" s="68">
        <v>170000</v>
      </c>
      <c r="B57" s="26" t="s">
        <v>101</v>
      </c>
      <c r="C57" s="47">
        <f aca="true" t="shared" si="5" ref="C57:H57">C58</f>
        <v>0</v>
      </c>
      <c r="D57" s="47">
        <f t="shared" si="5"/>
        <v>0</v>
      </c>
      <c r="E57" s="47">
        <f t="shared" si="5"/>
        <v>0</v>
      </c>
      <c r="F57" s="47">
        <f t="shared" si="5"/>
        <v>0</v>
      </c>
      <c r="G57" s="47">
        <f t="shared" si="5"/>
        <v>0</v>
      </c>
      <c r="H57" s="47">
        <f t="shared" si="5"/>
        <v>29400</v>
      </c>
      <c r="I57" s="47"/>
      <c r="J57" s="47"/>
      <c r="K57" s="79">
        <f t="shared" si="1"/>
        <v>29400</v>
      </c>
      <c r="L57" s="23"/>
    </row>
    <row r="58" spans="1:13" ht="55.5" customHeight="1">
      <c r="A58" s="80">
        <v>170703</v>
      </c>
      <c r="B58" s="20" t="s">
        <v>298</v>
      </c>
      <c r="C58" s="30">
        <f>D58+E58+F58</f>
        <v>0</v>
      </c>
      <c r="D58" s="30"/>
      <c r="E58" s="30"/>
      <c r="F58" s="30"/>
      <c r="G58" s="30"/>
      <c r="H58" s="30">
        <v>29400</v>
      </c>
      <c r="I58" s="30"/>
      <c r="J58" s="30"/>
      <c r="K58" s="81">
        <f t="shared" si="1"/>
        <v>29400</v>
      </c>
      <c r="L58" s="8"/>
      <c r="M58" s="21"/>
    </row>
    <row r="59" spans="1:13" ht="38.25" customHeight="1">
      <c r="A59" s="68">
        <v>180109</v>
      </c>
      <c r="B59" s="26" t="s">
        <v>103</v>
      </c>
      <c r="C59" s="47">
        <f aca="true" t="shared" si="6" ref="C59:C66">D59+E59+F59</f>
        <v>10921.399999999998</v>
      </c>
      <c r="D59" s="30"/>
      <c r="E59" s="30"/>
      <c r="F59" s="47">
        <f>4700.4+400+390+38.7-14.9+2703.7+2703.7-0.2</f>
        <v>10921.399999999998</v>
      </c>
      <c r="G59" s="30"/>
      <c r="H59" s="47"/>
      <c r="I59" s="30"/>
      <c r="J59" s="30"/>
      <c r="K59" s="79">
        <f t="shared" si="1"/>
        <v>10921.399999999998</v>
      </c>
      <c r="L59" s="8"/>
      <c r="M59" s="21"/>
    </row>
    <row r="60" spans="1:13" ht="25.5" customHeight="1">
      <c r="A60" s="68">
        <v>180404</v>
      </c>
      <c r="B60" s="26" t="s">
        <v>104</v>
      </c>
      <c r="C60" s="47">
        <f t="shared" si="6"/>
        <v>200</v>
      </c>
      <c r="D60" s="30"/>
      <c r="E60" s="30"/>
      <c r="F60" s="47">
        <v>200</v>
      </c>
      <c r="G60" s="30"/>
      <c r="H60" s="47"/>
      <c r="I60" s="30"/>
      <c r="J60" s="30"/>
      <c r="K60" s="79">
        <f t="shared" si="1"/>
        <v>200</v>
      </c>
      <c r="L60" s="8"/>
      <c r="M60" s="21"/>
    </row>
    <row r="61" spans="1:13" ht="65.25">
      <c r="A61" s="68" t="s">
        <v>5</v>
      </c>
      <c r="B61" s="26" t="s">
        <v>6</v>
      </c>
      <c r="C61" s="47"/>
      <c r="D61" s="30"/>
      <c r="E61" s="30"/>
      <c r="F61" s="47"/>
      <c r="G61" s="30"/>
      <c r="H61" s="47">
        <f>30+30+30</f>
        <v>90</v>
      </c>
      <c r="I61" s="47">
        <f>30+30+30</f>
        <v>90</v>
      </c>
      <c r="J61" s="30"/>
      <c r="K61" s="79">
        <f t="shared" si="1"/>
        <v>90</v>
      </c>
      <c r="L61" s="8"/>
      <c r="M61" s="21"/>
    </row>
    <row r="62" spans="1:12" s="21" customFormat="1" ht="38.25">
      <c r="A62" s="68">
        <v>210000</v>
      </c>
      <c r="B62" s="58" t="s">
        <v>196</v>
      </c>
      <c r="C62" s="47">
        <f>D62+E62+F62+G62</f>
        <v>4868.6</v>
      </c>
      <c r="D62" s="47"/>
      <c r="E62" s="47"/>
      <c r="F62" s="47">
        <f>1800+198.6+150+820+117+300+400.3</f>
        <v>3785.9</v>
      </c>
      <c r="G62" s="47">
        <f>1110.3+8.1-35.7</f>
        <v>1082.6999999999998</v>
      </c>
      <c r="H62" s="47"/>
      <c r="I62" s="47"/>
      <c r="J62" s="47"/>
      <c r="K62" s="79">
        <f t="shared" si="1"/>
        <v>4868.6</v>
      </c>
      <c r="L62" s="23"/>
    </row>
    <row r="63" spans="1:12" s="21" customFormat="1" ht="29.25" customHeight="1">
      <c r="A63" s="78" t="s">
        <v>142</v>
      </c>
      <c r="B63" s="26" t="s">
        <v>143</v>
      </c>
      <c r="C63" s="47">
        <f t="shared" si="6"/>
        <v>0</v>
      </c>
      <c r="D63" s="47"/>
      <c r="E63" s="47"/>
      <c r="F63" s="47"/>
      <c r="G63" s="47"/>
      <c r="H63" s="47">
        <v>665.4</v>
      </c>
      <c r="I63" s="47"/>
      <c r="J63" s="47"/>
      <c r="K63" s="79">
        <f t="shared" si="1"/>
        <v>665.4</v>
      </c>
      <c r="L63" s="23"/>
    </row>
    <row r="64" spans="1:12" s="21" customFormat="1" ht="13.5" customHeight="1">
      <c r="A64" s="68">
        <v>230000</v>
      </c>
      <c r="B64" s="26" t="s">
        <v>105</v>
      </c>
      <c r="C64" s="47">
        <f t="shared" si="6"/>
        <v>0.1</v>
      </c>
      <c r="D64" s="47"/>
      <c r="E64" s="47"/>
      <c r="F64" s="47">
        <v>0.1</v>
      </c>
      <c r="G64" s="47"/>
      <c r="H64" s="47"/>
      <c r="I64" s="47"/>
      <c r="J64" s="47"/>
      <c r="K64" s="79">
        <f t="shared" si="1"/>
        <v>0.1</v>
      </c>
      <c r="L64" s="23"/>
    </row>
    <row r="65" spans="1:12" s="21" customFormat="1" ht="13.5" customHeight="1">
      <c r="A65" s="78">
        <v>240000</v>
      </c>
      <c r="B65" s="26" t="s">
        <v>106</v>
      </c>
      <c r="C65" s="47">
        <f aca="true" t="shared" si="7" ref="C65:H65">C66</f>
        <v>0</v>
      </c>
      <c r="D65" s="47">
        <f t="shared" si="7"/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 t="shared" si="7"/>
        <v>40200</v>
      </c>
      <c r="I65" s="47"/>
      <c r="J65" s="47"/>
      <c r="K65" s="79">
        <f t="shared" si="1"/>
        <v>40200</v>
      </c>
      <c r="L65" s="23"/>
    </row>
    <row r="66" spans="1:13" ht="70.5" customHeight="1">
      <c r="A66" s="76" t="s">
        <v>145</v>
      </c>
      <c r="B66" s="24" t="s">
        <v>107</v>
      </c>
      <c r="C66" s="30">
        <f t="shared" si="6"/>
        <v>0</v>
      </c>
      <c r="D66" s="30"/>
      <c r="E66" s="30"/>
      <c r="F66" s="30"/>
      <c r="G66" s="30"/>
      <c r="H66" s="30">
        <f>38000+2200</f>
        <v>40200</v>
      </c>
      <c r="I66" s="30"/>
      <c r="J66" s="30"/>
      <c r="K66" s="81">
        <f t="shared" si="1"/>
        <v>40200</v>
      </c>
      <c r="L66" s="8"/>
      <c r="M66" s="21"/>
    </row>
    <row r="67" spans="1:12" s="21" customFormat="1" ht="25.5">
      <c r="A67" s="68">
        <v>250000</v>
      </c>
      <c r="B67" s="26" t="s">
        <v>108</v>
      </c>
      <c r="C67" s="47">
        <f aca="true" t="shared" si="8" ref="C67:I67">C68+C69+C71+C70</f>
        <v>2039.2</v>
      </c>
      <c r="D67" s="47">
        <f t="shared" si="8"/>
        <v>3.4</v>
      </c>
      <c r="E67" s="47">
        <f t="shared" si="8"/>
        <v>0</v>
      </c>
      <c r="F67" s="47">
        <f t="shared" si="8"/>
        <v>2035.8</v>
      </c>
      <c r="G67" s="47">
        <f t="shared" si="8"/>
        <v>0</v>
      </c>
      <c r="H67" s="47">
        <f t="shared" si="8"/>
        <v>0</v>
      </c>
      <c r="I67" s="47">
        <f t="shared" si="8"/>
        <v>0</v>
      </c>
      <c r="J67" s="47"/>
      <c r="K67" s="79">
        <f t="shared" si="1"/>
        <v>2039.2</v>
      </c>
      <c r="L67" s="23"/>
    </row>
    <row r="68" spans="1:13" ht="13.5">
      <c r="A68" s="80">
        <v>250102</v>
      </c>
      <c r="B68" s="20" t="s">
        <v>109</v>
      </c>
      <c r="C68" s="30">
        <f>D68+E68+F68</f>
        <v>1531.4</v>
      </c>
      <c r="D68" s="30"/>
      <c r="E68" s="30"/>
      <c r="F68" s="30">
        <f>4000-500-500-198.6-150-820-300</f>
        <v>1531.4</v>
      </c>
      <c r="G68" s="30"/>
      <c r="H68" s="30"/>
      <c r="I68" s="30"/>
      <c r="J68" s="30"/>
      <c r="K68" s="81">
        <f t="shared" si="1"/>
        <v>1531.4</v>
      </c>
      <c r="L68" s="8"/>
      <c r="M68" s="21"/>
    </row>
    <row r="69" spans="1:13" ht="26.25" customHeight="1">
      <c r="A69" s="80">
        <v>250203</v>
      </c>
      <c r="B69" s="20" t="s">
        <v>197</v>
      </c>
      <c r="C69" s="30">
        <f>D69+E69+F69</f>
        <v>7</v>
      </c>
      <c r="D69" s="30">
        <f>1.7+1.7</f>
        <v>3.4</v>
      </c>
      <c r="E69" s="30"/>
      <c r="F69" s="30">
        <f>105-101.5+1.8-1.7</f>
        <v>3.5999999999999996</v>
      </c>
      <c r="G69" s="30"/>
      <c r="H69" s="30"/>
      <c r="I69" s="30"/>
      <c r="J69" s="30"/>
      <c r="K69" s="81">
        <f t="shared" si="1"/>
        <v>7</v>
      </c>
      <c r="L69" s="8"/>
      <c r="M69" s="21"/>
    </row>
    <row r="70" spans="1:13" ht="26.25" customHeight="1">
      <c r="A70" s="80" t="s">
        <v>221</v>
      </c>
      <c r="B70" s="20" t="s">
        <v>257</v>
      </c>
      <c r="C70" s="30">
        <f>D70+E70+F70</f>
        <v>226.20000000000002</v>
      </c>
      <c r="D70" s="30"/>
      <c r="E70" s="30"/>
      <c r="F70" s="30">
        <f>101.5+101.5+73.1-47.8-2.1</f>
        <v>226.20000000000002</v>
      </c>
      <c r="G70" s="30"/>
      <c r="H70" s="30"/>
      <c r="I70" s="30"/>
      <c r="J70" s="30"/>
      <c r="K70" s="81">
        <f t="shared" si="1"/>
        <v>226.20000000000002</v>
      </c>
      <c r="L70" s="8"/>
      <c r="M70" s="21"/>
    </row>
    <row r="71" spans="1:13" ht="14.25" thickBot="1">
      <c r="A71" s="82">
        <v>250404</v>
      </c>
      <c r="B71" s="71" t="s">
        <v>110</v>
      </c>
      <c r="C71" s="60">
        <f>D71+E71+F71</f>
        <v>274.6</v>
      </c>
      <c r="D71" s="60"/>
      <c r="E71" s="60"/>
      <c r="F71" s="60">
        <f>225+49.6</f>
        <v>274.6</v>
      </c>
      <c r="G71" s="60"/>
      <c r="H71" s="60"/>
      <c r="I71" s="60"/>
      <c r="J71" s="60"/>
      <c r="K71" s="83">
        <f t="shared" si="1"/>
        <v>274.6</v>
      </c>
      <c r="L71" s="8"/>
      <c r="M71" s="21"/>
    </row>
    <row r="72" spans="1:13" s="21" customFormat="1" ht="18" customHeight="1">
      <c r="A72" s="116"/>
      <c r="B72" s="117" t="s">
        <v>111</v>
      </c>
      <c r="C72" s="118">
        <f>C13+C15+C17+C18+C19+C40+C42+C46+C49+C50+C57+C59+C60+C62+C64+C65+C66+C67</f>
        <v>548405.7999999999</v>
      </c>
      <c r="D72" s="118">
        <f>D13+D15+D17+D18+D19+D40+D42+D46+D49+D50+D57+D59+D60+D62+D64+D65+D66+D67</f>
        <v>155955.6</v>
      </c>
      <c r="E72" s="118">
        <f>E13+E15+E17+E18+E19+E40+E42+E46+E49+E50+E57+E59+E60+E62+E64+E65+E66+E67</f>
        <v>33729.3</v>
      </c>
      <c r="F72" s="118">
        <f>F13+F15+F17+F18+F19+F40+F42+F46+F49+F50+F57+F59+F60+F62+F64+F65+F66+F67</f>
        <v>329618.9</v>
      </c>
      <c r="G72" s="118">
        <f>G13+G15+G17+G18+G19+G40+G42+G46+G49+G50+G57+G59+G60+G62+G64+G65+G66+G67</f>
        <v>29102.000000000004</v>
      </c>
      <c r="H72" s="118">
        <f>H13+H15+H17+H18+H19+H40+H42+H46+H49+H50+H57+H59+H60+H62+H64+H65+H67+H63+H61</f>
        <v>161066.5</v>
      </c>
      <c r="I72" s="118">
        <f>I13+I15+I17+I18+I19+I40+I42+I46+I49+I50+I57+I59+I60+I62+I64+I65+I67+I63+I61</f>
        <v>71152.2</v>
      </c>
      <c r="J72" s="118">
        <f>J13+J15+J17+J18+J19+J40+J42+J46+J49+J50+J57+J59+J60+J62+J64+J65+J67+J63+J61</f>
        <v>406.5</v>
      </c>
      <c r="K72" s="119">
        <f>K13+K15+K17+K18+K19+K40+K42+K46+K49+K50+K57+K59+K60+K62+K64+K65+K67+K63+K61</f>
        <v>709472.2999999999</v>
      </c>
      <c r="L72" s="28"/>
      <c r="M72" s="29"/>
    </row>
    <row r="73" spans="1:13" s="21" customFormat="1" ht="108.75" customHeight="1">
      <c r="A73" s="80" t="s">
        <v>264</v>
      </c>
      <c r="B73" s="48" t="s">
        <v>205</v>
      </c>
      <c r="C73" s="30">
        <f aca="true" t="shared" si="9" ref="C73:C87">D73+E73+F73</f>
        <v>21399.2</v>
      </c>
      <c r="D73" s="47"/>
      <c r="E73" s="47"/>
      <c r="F73" s="30">
        <v>21399.2</v>
      </c>
      <c r="G73" s="47"/>
      <c r="H73" s="47"/>
      <c r="I73" s="47"/>
      <c r="J73" s="47"/>
      <c r="K73" s="81">
        <f t="shared" si="1"/>
        <v>21399.2</v>
      </c>
      <c r="L73" s="28"/>
      <c r="M73" s="29"/>
    </row>
    <row r="74" spans="1:13" s="21" customFormat="1" ht="108.75" customHeight="1">
      <c r="A74" s="80" t="s">
        <v>263</v>
      </c>
      <c r="B74" s="195" t="s">
        <v>299</v>
      </c>
      <c r="C74" s="30">
        <f t="shared" si="9"/>
        <v>47780.8</v>
      </c>
      <c r="D74" s="47"/>
      <c r="E74" s="47"/>
      <c r="F74" s="30">
        <v>47780.8</v>
      </c>
      <c r="G74" s="47"/>
      <c r="H74" s="47"/>
      <c r="I74" s="47"/>
      <c r="J74" s="47"/>
      <c r="K74" s="81">
        <f t="shared" si="1"/>
        <v>47780.8</v>
      </c>
      <c r="L74" s="28"/>
      <c r="M74" s="29"/>
    </row>
    <row r="75" spans="1:13" ht="69" customHeight="1">
      <c r="A75" s="80">
        <v>250301</v>
      </c>
      <c r="B75" s="51" t="s">
        <v>200</v>
      </c>
      <c r="C75" s="30">
        <f t="shared" si="9"/>
        <v>14715</v>
      </c>
      <c r="D75" s="30"/>
      <c r="E75" s="30"/>
      <c r="F75" s="30">
        <v>14715</v>
      </c>
      <c r="G75" s="30"/>
      <c r="H75" s="30"/>
      <c r="I75" s="30"/>
      <c r="J75" s="30"/>
      <c r="K75" s="81">
        <f t="shared" si="1"/>
        <v>14715</v>
      </c>
      <c r="L75" s="8"/>
      <c r="M75" s="21"/>
    </row>
    <row r="76" spans="1:13" ht="39.75" customHeight="1">
      <c r="A76" s="80">
        <v>250306</v>
      </c>
      <c r="B76" s="71" t="s">
        <v>112</v>
      </c>
      <c r="C76" s="30">
        <f t="shared" si="9"/>
        <v>69845.7</v>
      </c>
      <c r="D76" s="47"/>
      <c r="E76" s="47"/>
      <c r="F76" s="30">
        <f>20000+6692.7+340+11000+10000+12000+900+30+1650+119+1500+30+100+4654+300+500+30</f>
        <v>69845.7</v>
      </c>
      <c r="G76" s="47"/>
      <c r="H76" s="47"/>
      <c r="I76" s="47"/>
      <c r="J76" s="47"/>
      <c r="K76" s="81">
        <f t="shared" si="1"/>
        <v>69845.7</v>
      </c>
      <c r="L76" s="8"/>
      <c r="M76" s="21"/>
    </row>
    <row r="77" spans="1:13" ht="39.75" customHeight="1">
      <c r="A77" s="80" t="s">
        <v>17</v>
      </c>
      <c r="B77" s="48" t="s">
        <v>13</v>
      </c>
      <c r="C77" s="30">
        <f t="shared" si="9"/>
        <v>41966</v>
      </c>
      <c r="D77" s="47"/>
      <c r="E77" s="47"/>
      <c r="F77" s="30">
        <f>43616-1650</f>
        <v>41966</v>
      </c>
      <c r="G77" s="47"/>
      <c r="H77" s="47"/>
      <c r="I77" s="47"/>
      <c r="J77" s="47"/>
      <c r="K77" s="81">
        <f t="shared" si="1"/>
        <v>41966</v>
      </c>
      <c r="L77" s="8"/>
      <c r="M77" s="21"/>
    </row>
    <row r="78" spans="1:13" ht="67.5">
      <c r="A78" s="84" t="s">
        <v>230</v>
      </c>
      <c r="B78" s="48" t="s">
        <v>223</v>
      </c>
      <c r="C78" s="30">
        <f t="shared" si="9"/>
        <v>93935.5</v>
      </c>
      <c r="D78" s="47"/>
      <c r="E78" s="47"/>
      <c r="F78" s="30">
        <v>93935.5</v>
      </c>
      <c r="G78" s="47"/>
      <c r="H78" s="47"/>
      <c r="I78" s="47"/>
      <c r="J78" s="47"/>
      <c r="K78" s="81">
        <f t="shared" si="1"/>
        <v>93935.5</v>
      </c>
      <c r="L78" s="8"/>
      <c r="M78" s="21"/>
    </row>
    <row r="79" spans="1:13" ht="409.5" customHeight="1">
      <c r="A79" s="84" t="s">
        <v>231</v>
      </c>
      <c r="B79" s="196" t="s">
        <v>301</v>
      </c>
      <c r="C79" s="30">
        <f t="shared" si="9"/>
        <v>195261</v>
      </c>
      <c r="D79" s="47"/>
      <c r="E79" s="47"/>
      <c r="F79" s="30">
        <f>173905.7+21355.3</f>
        <v>195261</v>
      </c>
      <c r="G79" s="47"/>
      <c r="H79" s="47"/>
      <c r="I79" s="47"/>
      <c r="J79" s="47"/>
      <c r="K79" s="81">
        <f t="shared" si="1"/>
        <v>195261</v>
      </c>
      <c r="L79" s="8"/>
      <c r="M79" s="21"/>
    </row>
    <row r="80" spans="1:13" ht="261.75" customHeight="1">
      <c r="A80" s="84" t="s">
        <v>220</v>
      </c>
      <c r="B80" s="114" t="s">
        <v>47</v>
      </c>
      <c r="C80" s="121">
        <f t="shared" si="9"/>
        <v>65374</v>
      </c>
      <c r="D80" s="47"/>
      <c r="E80" s="47"/>
      <c r="F80" s="30">
        <f>60229.2+5144.8</f>
        <v>65374</v>
      </c>
      <c r="G80" s="47"/>
      <c r="H80" s="47"/>
      <c r="I80" s="47"/>
      <c r="J80" s="47"/>
      <c r="K80" s="81">
        <f t="shared" si="1"/>
        <v>65374</v>
      </c>
      <c r="L80" s="8"/>
      <c r="M80" s="21"/>
    </row>
    <row r="81" spans="1:13" s="21" customFormat="1" ht="153.75" customHeight="1">
      <c r="A81" s="80" t="s">
        <v>232</v>
      </c>
      <c r="B81" s="114" t="s">
        <v>227</v>
      </c>
      <c r="C81" s="30">
        <f t="shared" si="9"/>
        <v>21042.2</v>
      </c>
      <c r="D81" s="30"/>
      <c r="E81" s="30"/>
      <c r="F81" s="30">
        <v>21042.2</v>
      </c>
      <c r="G81" s="30"/>
      <c r="H81" s="30"/>
      <c r="I81" s="30"/>
      <c r="J81" s="30"/>
      <c r="K81" s="81">
        <f t="shared" si="1"/>
        <v>21042.2</v>
      </c>
      <c r="L81" s="28"/>
      <c r="M81" s="29"/>
    </row>
    <row r="82" spans="1:13" s="21" customFormat="1" ht="81" hidden="1">
      <c r="A82" s="80" t="s">
        <v>289</v>
      </c>
      <c r="B82" s="114" t="s">
        <v>208</v>
      </c>
      <c r="C82" s="30">
        <f t="shared" si="9"/>
        <v>0</v>
      </c>
      <c r="D82" s="30"/>
      <c r="E82" s="30"/>
      <c r="F82" s="30"/>
      <c r="G82" s="30"/>
      <c r="H82" s="30"/>
      <c r="I82" s="30"/>
      <c r="J82" s="30"/>
      <c r="K82" s="81">
        <f t="shared" si="1"/>
        <v>0</v>
      </c>
      <c r="L82" s="28"/>
      <c r="M82" s="29"/>
    </row>
    <row r="83" spans="1:12" s="21" customFormat="1" ht="69.75" customHeight="1">
      <c r="A83" s="80" t="s">
        <v>240</v>
      </c>
      <c r="B83" s="114" t="s">
        <v>229</v>
      </c>
      <c r="C83" s="30">
        <f t="shared" si="9"/>
        <v>0</v>
      </c>
      <c r="D83" s="30"/>
      <c r="E83" s="30"/>
      <c r="F83" s="30"/>
      <c r="G83" s="30"/>
      <c r="H83" s="30">
        <f>9037.8+200</f>
        <v>9237.8</v>
      </c>
      <c r="I83" s="30"/>
      <c r="J83" s="30"/>
      <c r="K83" s="81">
        <f t="shared" si="1"/>
        <v>9237.8</v>
      </c>
      <c r="L83" s="23"/>
    </row>
    <row r="84" spans="1:12" s="21" customFormat="1" ht="109.5" customHeight="1">
      <c r="A84" s="102" t="s">
        <v>16</v>
      </c>
      <c r="B84" s="122" t="s">
        <v>15</v>
      </c>
      <c r="C84" s="45">
        <f t="shared" si="9"/>
        <v>33441</v>
      </c>
      <c r="D84" s="103"/>
      <c r="E84" s="103"/>
      <c r="F84" s="103">
        <v>33441</v>
      </c>
      <c r="G84" s="103"/>
      <c r="H84" s="103"/>
      <c r="I84" s="103"/>
      <c r="J84" s="103"/>
      <c r="K84" s="77">
        <f t="shared" si="1"/>
        <v>33441</v>
      </c>
      <c r="L84" s="23"/>
    </row>
    <row r="85" spans="1:12" s="21" customFormat="1" ht="15" customHeight="1">
      <c r="A85" s="80" t="s">
        <v>7</v>
      </c>
      <c r="B85" s="114" t="s">
        <v>8</v>
      </c>
      <c r="C85" s="30">
        <f t="shared" si="9"/>
        <v>5240</v>
      </c>
      <c r="D85" s="30"/>
      <c r="E85" s="30"/>
      <c r="F85" s="30">
        <f>200+1140+450+2550+900</f>
        <v>5240</v>
      </c>
      <c r="G85" s="30"/>
      <c r="H85" s="30"/>
      <c r="I85" s="30"/>
      <c r="J85" s="30"/>
      <c r="K85" s="81">
        <f t="shared" si="1"/>
        <v>5240</v>
      </c>
      <c r="L85" s="23"/>
    </row>
    <row r="86" spans="1:12" s="21" customFormat="1" ht="54" customHeight="1">
      <c r="A86" s="80" t="s">
        <v>262</v>
      </c>
      <c r="B86" s="114" t="s">
        <v>300</v>
      </c>
      <c r="C86" s="30">
        <f t="shared" si="9"/>
        <v>5800</v>
      </c>
      <c r="D86" s="30"/>
      <c r="E86" s="30"/>
      <c r="F86" s="30">
        <v>5800</v>
      </c>
      <c r="G86" s="30"/>
      <c r="H86" s="30"/>
      <c r="I86" s="30"/>
      <c r="J86" s="30"/>
      <c r="K86" s="81">
        <f t="shared" si="1"/>
        <v>5800</v>
      </c>
      <c r="L86" s="23"/>
    </row>
    <row r="87" spans="1:12" s="21" customFormat="1" ht="69" customHeight="1">
      <c r="A87" s="80" t="s">
        <v>48</v>
      </c>
      <c r="B87" s="114" t="s">
        <v>29</v>
      </c>
      <c r="C87" s="30">
        <f t="shared" si="9"/>
        <v>26500</v>
      </c>
      <c r="D87" s="30"/>
      <c r="E87" s="30"/>
      <c r="F87" s="30">
        <f>24900+1600</f>
        <v>26500</v>
      </c>
      <c r="G87" s="30"/>
      <c r="H87" s="30"/>
      <c r="I87" s="30"/>
      <c r="J87" s="30"/>
      <c r="K87" s="81">
        <f t="shared" si="1"/>
        <v>26500</v>
      </c>
      <c r="L87" s="23"/>
    </row>
    <row r="88" spans="1:13" s="21" customFormat="1" ht="13.5" thickBot="1">
      <c r="A88" s="213" t="s">
        <v>113</v>
      </c>
      <c r="B88" s="214"/>
      <c r="C88" s="110">
        <f>C83+C81+C80+C79+C78+C76+C75+C72+C82+C85+C77+C84+C86+C87+C74+C73</f>
        <v>1190706.2</v>
      </c>
      <c r="D88" s="110">
        <f>D83+D81+D80+D79+D78+D76+D75+D72+D82+D84+D85+D86+D87+D73+D74+D77</f>
        <v>155955.6</v>
      </c>
      <c r="E88" s="110">
        <f>E83+E81+E80+E79+E78+E76+E75+E72+E82+E84+E85+E86+E87+E73+E74+E77</f>
        <v>33729.3</v>
      </c>
      <c r="F88" s="110">
        <f>F83+F81+F80+F79+F78+F76+F75+F72+F82+F84+F85+F86+F87+F73+F74+F77</f>
        <v>971919.3</v>
      </c>
      <c r="G88" s="110">
        <f>G83+G81+G80+G79+G78+G76+G75+G72+G82</f>
        <v>29102.000000000004</v>
      </c>
      <c r="H88" s="110">
        <f>H83+H81+H80+H79+H78+H76+H75+H72+H82</f>
        <v>170304.3</v>
      </c>
      <c r="I88" s="110">
        <f>I83+I81+I80+I79+I78+I76+I75+I72+I82</f>
        <v>71152.2</v>
      </c>
      <c r="J88" s="110">
        <f>J83+J81+J80+J79+J78+J76+J75+J72+J82</f>
        <v>406.5</v>
      </c>
      <c r="K88" s="111">
        <f>C88+H88</f>
        <v>1361010.5</v>
      </c>
      <c r="L88" s="23"/>
      <c r="M88" s="29"/>
    </row>
    <row r="89" spans="2:11" ht="13.5">
      <c r="B89" s="52"/>
      <c r="C89" s="32">
        <v>1190706.2</v>
      </c>
      <c r="D89" s="32">
        <v>155955.6</v>
      </c>
      <c r="E89" s="32">
        <v>33729.3</v>
      </c>
      <c r="F89" s="32">
        <v>971919.3</v>
      </c>
      <c r="G89" s="32">
        <v>29102</v>
      </c>
      <c r="H89" s="32">
        <v>170304.3</v>
      </c>
      <c r="I89" s="32">
        <v>71152.2</v>
      </c>
      <c r="J89" s="32">
        <v>406.5</v>
      </c>
      <c r="K89" s="32">
        <v>1361010.5</v>
      </c>
    </row>
    <row r="90" spans="2:11" ht="13.5" hidden="1">
      <c r="B90" s="52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 ht="13.5">
      <c r="B91" s="52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 ht="13.5">
      <c r="B92" s="52"/>
      <c r="C92" s="32"/>
      <c r="D92" s="32"/>
      <c r="E92" s="32"/>
      <c r="F92" s="32"/>
      <c r="G92" s="32"/>
      <c r="H92" s="32"/>
      <c r="I92" s="32"/>
      <c r="J92" s="32"/>
      <c r="K92" s="32"/>
    </row>
    <row r="93" spans="2:3" ht="13.5">
      <c r="B93" s="52"/>
      <c r="C93" s="32">
        <v>1160035.4</v>
      </c>
    </row>
    <row r="94" spans="2:11" ht="13.5">
      <c r="B94" s="52"/>
      <c r="C94" s="32"/>
      <c r="D94" s="32"/>
      <c r="E94" s="32"/>
      <c r="F94" s="32"/>
      <c r="G94" s="32"/>
      <c r="H94" s="32"/>
      <c r="I94" s="32"/>
      <c r="K94" s="32"/>
    </row>
    <row r="95" spans="2:8" ht="13.5">
      <c r="B95" s="52"/>
      <c r="C95" s="32"/>
      <c r="D95" s="32"/>
      <c r="E95" s="32"/>
      <c r="F95" s="32"/>
      <c r="G95" s="32"/>
      <c r="H95" s="32"/>
    </row>
    <row r="96" spans="2:3" ht="13.5">
      <c r="B96" s="52"/>
      <c r="C96" s="32">
        <f>C88-C93</f>
        <v>30670.800000000047</v>
      </c>
    </row>
    <row r="97" ht="13.5">
      <c r="B97" s="52"/>
    </row>
    <row r="98" ht="13.5">
      <c r="B98" s="52"/>
    </row>
    <row r="99" ht="13.5">
      <c r="B99" s="52"/>
    </row>
    <row r="100" ht="13.5">
      <c r="B100" s="52"/>
    </row>
    <row r="101" ht="13.5">
      <c r="B101" s="52"/>
    </row>
    <row r="102" ht="13.5">
      <c r="B102" s="52"/>
    </row>
    <row r="103" ht="13.5">
      <c r="B103" s="52"/>
    </row>
    <row r="104" ht="13.5">
      <c r="B104" s="52"/>
    </row>
    <row r="105" ht="13.5">
      <c r="B105" s="52"/>
    </row>
    <row r="106" ht="13.5">
      <c r="B106" s="52"/>
    </row>
    <row r="107" ht="13.5">
      <c r="B107" s="52"/>
    </row>
    <row r="108" ht="13.5">
      <c r="B108" s="52"/>
    </row>
    <row r="109" ht="13.5">
      <c r="B109" s="52"/>
    </row>
    <row r="110" ht="13.5">
      <c r="B110" s="52"/>
    </row>
    <row r="111" ht="13.5">
      <c r="B111" s="52"/>
    </row>
    <row r="112" ht="13.5">
      <c r="B112" s="52"/>
    </row>
    <row r="113" ht="13.5">
      <c r="B113" s="52"/>
    </row>
    <row r="114" ht="13.5">
      <c r="B114" s="52"/>
    </row>
    <row r="115" ht="13.5">
      <c r="B115" s="52"/>
    </row>
    <row r="116" ht="13.5">
      <c r="B116" s="52"/>
    </row>
    <row r="117" ht="13.5">
      <c r="B117" s="52"/>
    </row>
    <row r="118" ht="13.5">
      <c r="B118" s="52"/>
    </row>
    <row r="119" ht="13.5">
      <c r="B119" s="52"/>
    </row>
    <row r="120" ht="13.5">
      <c r="B120" s="52"/>
    </row>
    <row r="121" ht="13.5">
      <c r="B121" s="52"/>
    </row>
    <row r="122" ht="13.5">
      <c r="B122" s="52"/>
    </row>
    <row r="123" ht="13.5">
      <c r="B123" s="52"/>
    </row>
    <row r="124" ht="13.5">
      <c r="B124" s="52"/>
    </row>
    <row r="125" ht="13.5">
      <c r="B125" s="52"/>
    </row>
    <row r="126" ht="13.5">
      <c r="B126" s="52"/>
    </row>
    <row r="127" ht="13.5">
      <c r="B127" s="52"/>
    </row>
    <row r="128" ht="13.5">
      <c r="B128" s="52"/>
    </row>
    <row r="129" ht="13.5">
      <c r="B129" s="52"/>
    </row>
    <row r="130" ht="13.5">
      <c r="B130" s="52"/>
    </row>
    <row r="131" ht="13.5">
      <c r="B131" s="52"/>
    </row>
    <row r="132" ht="13.5">
      <c r="B132" s="52"/>
    </row>
    <row r="133" ht="13.5">
      <c r="B133" s="52"/>
    </row>
    <row r="134" ht="13.5">
      <c r="B134" s="52"/>
    </row>
    <row r="135" ht="13.5">
      <c r="B135" s="52"/>
    </row>
    <row r="136" ht="13.5">
      <c r="B136" s="52"/>
    </row>
    <row r="137" ht="13.5">
      <c r="B137" s="52"/>
    </row>
    <row r="138" ht="13.5">
      <c r="B138" s="52"/>
    </row>
    <row r="139" ht="13.5">
      <c r="B139" s="52"/>
    </row>
    <row r="140" ht="13.5">
      <c r="B140" s="52"/>
    </row>
    <row r="141" ht="13.5">
      <c r="B141" s="52"/>
    </row>
    <row r="142" ht="13.5">
      <c r="B142" s="52"/>
    </row>
    <row r="143" ht="13.5">
      <c r="B143" s="52"/>
    </row>
    <row r="144" ht="13.5">
      <c r="B144" s="52"/>
    </row>
    <row r="145" ht="13.5">
      <c r="B145" s="52"/>
    </row>
    <row r="146" ht="13.5">
      <c r="B146" s="52"/>
    </row>
    <row r="147" ht="13.5">
      <c r="B147" s="52"/>
    </row>
    <row r="148" ht="13.5">
      <c r="B148" s="52"/>
    </row>
    <row r="149" ht="13.5">
      <c r="B149" s="52"/>
    </row>
    <row r="150" ht="13.5">
      <c r="B150" s="52"/>
    </row>
    <row r="151" ht="13.5">
      <c r="B151" s="52"/>
    </row>
    <row r="152" ht="13.5">
      <c r="B152" s="52"/>
    </row>
    <row r="153" ht="13.5">
      <c r="B153" s="52"/>
    </row>
    <row r="154" ht="13.5">
      <c r="B154" s="52"/>
    </row>
    <row r="155" ht="13.5">
      <c r="B155" s="52"/>
    </row>
    <row r="156" ht="13.5">
      <c r="B156" s="52"/>
    </row>
    <row r="157" ht="13.5">
      <c r="B157" s="52"/>
    </row>
    <row r="158" ht="13.5">
      <c r="B158" s="52"/>
    </row>
    <row r="159" ht="13.5">
      <c r="B159" s="52"/>
    </row>
    <row r="160" ht="13.5">
      <c r="B160" s="52"/>
    </row>
    <row r="161" ht="13.5">
      <c r="B161" s="52"/>
    </row>
    <row r="162" ht="13.5">
      <c r="B162" s="52"/>
    </row>
    <row r="163" ht="13.5">
      <c r="B163" s="52"/>
    </row>
    <row r="164" ht="13.5">
      <c r="B164" s="52"/>
    </row>
    <row r="165" ht="13.5">
      <c r="B165" s="52"/>
    </row>
    <row r="166" ht="13.5">
      <c r="B166" s="52"/>
    </row>
    <row r="167" ht="13.5">
      <c r="B167" s="52"/>
    </row>
    <row r="168" ht="13.5">
      <c r="B168" s="52"/>
    </row>
    <row r="169" ht="13.5">
      <c r="B169" s="52"/>
    </row>
    <row r="170" ht="13.5">
      <c r="B170" s="52"/>
    </row>
    <row r="171" ht="13.5">
      <c r="B171" s="52"/>
    </row>
    <row r="172" ht="13.5">
      <c r="B172" s="52"/>
    </row>
    <row r="173" ht="13.5">
      <c r="B173" s="52"/>
    </row>
    <row r="174" ht="13.5">
      <c r="B174" s="52"/>
    </row>
    <row r="175" ht="13.5">
      <c r="B175" s="52"/>
    </row>
    <row r="176" ht="13.5">
      <c r="B176" s="52"/>
    </row>
    <row r="177" ht="13.5">
      <c r="B177" s="52"/>
    </row>
    <row r="178" ht="13.5">
      <c r="B178" s="52"/>
    </row>
    <row r="179" ht="13.5">
      <c r="B179" s="52"/>
    </row>
    <row r="180" ht="13.5">
      <c r="B180" s="52"/>
    </row>
    <row r="181" ht="13.5">
      <c r="B181" s="52"/>
    </row>
    <row r="182" ht="13.5">
      <c r="B182" s="52"/>
    </row>
    <row r="183" ht="13.5">
      <c r="B183" s="52"/>
    </row>
    <row r="184" ht="13.5">
      <c r="B184" s="52"/>
    </row>
    <row r="185" ht="13.5">
      <c r="B185" s="52"/>
    </row>
    <row r="186" ht="13.5">
      <c r="B186" s="52"/>
    </row>
    <row r="187" ht="13.5">
      <c r="B187" s="52"/>
    </row>
    <row r="188" ht="13.5">
      <c r="B188" s="52"/>
    </row>
    <row r="189" ht="13.5">
      <c r="B189" s="52"/>
    </row>
    <row r="190" ht="13.5">
      <c r="B190" s="52"/>
    </row>
    <row r="191" ht="13.5">
      <c r="B191" s="52"/>
    </row>
    <row r="192" ht="13.5">
      <c r="B192" s="52"/>
    </row>
    <row r="193" ht="13.5">
      <c r="B193" s="52"/>
    </row>
    <row r="194" ht="13.5">
      <c r="B194" s="52"/>
    </row>
    <row r="195" ht="13.5">
      <c r="B195" s="52"/>
    </row>
    <row r="196" ht="13.5">
      <c r="B196" s="52"/>
    </row>
    <row r="197" ht="13.5">
      <c r="B197" s="52"/>
    </row>
    <row r="198" ht="13.5">
      <c r="B198" s="52"/>
    </row>
    <row r="199" ht="13.5">
      <c r="B199" s="52"/>
    </row>
    <row r="200" ht="13.5">
      <c r="B200" s="52"/>
    </row>
    <row r="201" ht="13.5">
      <c r="B201" s="52"/>
    </row>
    <row r="202" ht="13.5">
      <c r="B202" s="52"/>
    </row>
    <row r="203" ht="13.5">
      <c r="B203" s="52"/>
    </row>
    <row r="204" ht="13.5">
      <c r="B204" s="52"/>
    </row>
    <row r="205" ht="13.5">
      <c r="B205" s="52"/>
    </row>
    <row r="206" ht="13.5">
      <c r="B206" s="52"/>
    </row>
    <row r="207" ht="13.5">
      <c r="B207" s="52"/>
    </row>
    <row r="208" ht="13.5">
      <c r="B208" s="52"/>
    </row>
    <row r="209" ht="13.5">
      <c r="B209" s="52"/>
    </row>
    <row r="210" ht="13.5">
      <c r="B210" s="52"/>
    </row>
    <row r="211" ht="13.5">
      <c r="B211" s="52"/>
    </row>
    <row r="212" ht="13.5">
      <c r="B212" s="52"/>
    </row>
    <row r="213" ht="13.5">
      <c r="B213" s="52"/>
    </row>
    <row r="214" ht="13.5">
      <c r="B214" s="52"/>
    </row>
    <row r="215" ht="13.5">
      <c r="B215" s="52"/>
    </row>
    <row r="216" ht="13.5">
      <c r="B216" s="52"/>
    </row>
    <row r="217" ht="13.5">
      <c r="B217" s="52"/>
    </row>
    <row r="218" ht="13.5">
      <c r="B218" s="52"/>
    </row>
    <row r="219" ht="13.5">
      <c r="B219" s="52"/>
    </row>
    <row r="220" ht="13.5">
      <c r="B220" s="52"/>
    </row>
    <row r="221" ht="13.5">
      <c r="B221" s="52"/>
    </row>
    <row r="222" ht="13.5">
      <c r="B222" s="52"/>
    </row>
    <row r="223" ht="13.5">
      <c r="B223" s="52"/>
    </row>
    <row r="224" ht="13.5">
      <c r="B224" s="52"/>
    </row>
    <row r="225" ht="13.5">
      <c r="B225" s="52"/>
    </row>
    <row r="226" ht="13.5">
      <c r="B226" s="52"/>
    </row>
    <row r="227" ht="13.5">
      <c r="B227" s="52"/>
    </row>
    <row r="228" ht="13.5">
      <c r="B228" s="52"/>
    </row>
    <row r="229" ht="13.5">
      <c r="B229" s="52"/>
    </row>
    <row r="230" ht="13.5">
      <c r="B230" s="52"/>
    </row>
    <row r="231" ht="13.5">
      <c r="B231" s="52"/>
    </row>
    <row r="232" ht="13.5">
      <c r="B232" s="52"/>
    </row>
    <row r="233" ht="13.5">
      <c r="B233" s="52"/>
    </row>
    <row r="234" ht="13.5">
      <c r="B234" s="52"/>
    </row>
    <row r="235" ht="13.5">
      <c r="B235" s="52"/>
    </row>
    <row r="236" ht="13.5">
      <c r="B236" s="52"/>
    </row>
    <row r="237" ht="13.5">
      <c r="B237" s="52"/>
    </row>
    <row r="238" ht="13.5">
      <c r="B238" s="52"/>
    </row>
    <row r="239" ht="13.5">
      <c r="B239" s="52"/>
    </row>
    <row r="240" ht="13.5">
      <c r="B240" s="52"/>
    </row>
    <row r="241" ht="13.5">
      <c r="B241" s="52"/>
    </row>
    <row r="242" ht="13.5">
      <c r="B242" s="52"/>
    </row>
    <row r="243" ht="13.5">
      <c r="B243" s="52"/>
    </row>
    <row r="244" ht="13.5">
      <c r="B244" s="52"/>
    </row>
    <row r="245" ht="13.5">
      <c r="B245" s="52"/>
    </row>
    <row r="246" ht="13.5">
      <c r="B246" s="52"/>
    </row>
    <row r="247" ht="13.5">
      <c r="B247" s="52"/>
    </row>
    <row r="248" ht="13.5">
      <c r="B248" s="52"/>
    </row>
    <row r="249" ht="13.5">
      <c r="B249" s="52"/>
    </row>
    <row r="250" ht="13.5">
      <c r="B250" s="52"/>
    </row>
    <row r="251" ht="13.5">
      <c r="B251" s="52"/>
    </row>
    <row r="252" ht="13.5">
      <c r="B252" s="52"/>
    </row>
    <row r="253" ht="13.5">
      <c r="B253" s="52"/>
    </row>
    <row r="254" ht="13.5">
      <c r="B254" s="52"/>
    </row>
    <row r="255" ht="13.5">
      <c r="B255" s="52"/>
    </row>
    <row r="256" ht="13.5">
      <c r="B256" s="52"/>
    </row>
    <row r="257" ht="13.5">
      <c r="B257" s="52"/>
    </row>
    <row r="258" ht="13.5">
      <c r="B258" s="52"/>
    </row>
    <row r="259" ht="13.5">
      <c r="B259" s="52"/>
    </row>
    <row r="260" ht="13.5">
      <c r="B260" s="52"/>
    </row>
    <row r="261" ht="13.5">
      <c r="B261" s="52"/>
    </row>
    <row r="262" ht="13.5">
      <c r="B262" s="52"/>
    </row>
    <row r="263" ht="13.5">
      <c r="B263" s="52"/>
    </row>
    <row r="264" ht="13.5">
      <c r="B264" s="52"/>
    </row>
    <row r="265" ht="13.5">
      <c r="B265" s="52"/>
    </row>
    <row r="266" ht="13.5">
      <c r="B266" s="52"/>
    </row>
    <row r="267" ht="13.5">
      <c r="B267" s="52"/>
    </row>
    <row r="268" ht="13.5">
      <c r="B268" s="52"/>
    </row>
    <row r="269" ht="13.5">
      <c r="B269" s="52"/>
    </row>
    <row r="270" ht="13.5">
      <c r="B270" s="52"/>
    </row>
    <row r="271" ht="13.5">
      <c r="B271" s="52"/>
    </row>
    <row r="272" ht="13.5">
      <c r="B272" s="52"/>
    </row>
    <row r="273" ht="13.5">
      <c r="B273" s="52"/>
    </row>
    <row r="274" ht="13.5">
      <c r="B274" s="52"/>
    </row>
    <row r="275" ht="13.5">
      <c r="B275" s="52"/>
    </row>
    <row r="276" ht="13.5">
      <c r="B276" s="52"/>
    </row>
    <row r="277" ht="13.5">
      <c r="B277" s="52"/>
    </row>
    <row r="278" ht="13.5">
      <c r="B278" s="52"/>
    </row>
    <row r="279" ht="13.5">
      <c r="B279" s="52"/>
    </row>
    <row r="280" ht="13.5">
      <c r="B280" s="52"/>
    </row>
    <row r="281" ht="13.5">
      <c r="B281" s="52"/>
    </row>
    <row r="282" ht="13.5">
      <c r="B282" s="52"/>
    </row>
    <row r="283" ht="13.5">
      <c r="B283" s="52"/>
    </row>
    <row r="284" ht="13.5">
      <c r="B284" s="52"/>
    </row>
    <row r="285" ht="13.5">
      <c r="B285" s="52"/>
    </row>
    <row r="286" ht="13.5">
      <c r="B286" s="52"/>
    </row>
    <row r="287" ht="13.5">
      <c r="B287" s="52"/>
    </row>
    <row r="288" ht="13.5">
      <c r="B288" s="52"/>
    </row>
    <row r="289" ht="13.5">
      <c r="B289" s="52"/>
    </row>
    <row r="290" ht="13.5">
      <c r="B290" s="52"/>
    </row>
    <row r="291" ht="13.5">
      <c r="B291" s="52"/>
    </row>
    <row r="292" ht="13.5">
      <c r="B292" s="52"/>
    </row>
    <row r="293" ht="13.5">
      <c r="B293" s="52"/>
    </row>
    <row r="294" ht="13.5">
      <c r="B294" s="52"/>
    </row>
    <row r="295" ht="13.5">
      <c r="B295" s="52"/>
    </row>
    <row r="296" ht="13.5">
      <c r="B296" s="52"/>
    </row>
    <row r="297" ht="13.5">
      <c r="B297" s="52"/>
    </row>
    <row r="298" ht="13.5">
      <c r="B298" s="52"/>
    </row>
    <row r="299" ht="13.5">
      <c r="B299" s="52"/>
    </row>
    <row r="300" ht="13.5">
      <c r="B300" s="52"/>
    </row>
    <row r="301" ht="13.5">
      <c r="B301" s="52"/>
    </row>
    <row r="302" ht="13.5">
      <c r="B302" s="52"/>
    </row>
    <row r="303" ht="13.5">
      <c r="B303" s="52"/>
    </row>
    <row r="304" ht="13.5">
      <c r="B304" s="52"/>
    </row>
    <row r="305" ht="13.5">
      <c r="B305" s="52"/>
    </row>
    <row r="306" ht="13.5">
      <c r="B306" s="52"/>
    </row>
    <row r="307" ht="13.5">
      <c r="B307" s="52"/>
    </row>
    <row r="308" ht="13.5">
      <c r="B308" s="52"/>
    </row>
    <row r="309" ht="13.5">
      <c r="B309" s="52"/>
    </row>
    <row r="310" ht="13.5">
      <c r="B310" s="52"/>
    </row>
    <row r="311" ht="13.5">
      <c r="B311" s="52"/>
    </row>
    <row r="312" ht="13.5">
      <c r="B312" s="52"/>
    </row>
    <row r="313" ht="13.5">
      <c r="B313" s="52"/>
    </row>
    <row r="314" ht="13.5">
      <c r="B314" s="52"/>
    </row>
    <row r="315" ht="13.5">
      <c r="B315" s="52"/>
    </row>
    <row r="316" ht="13.5">
      <c r="B316" s="52"/>
    </row>
    <row r="317" ht="13.5">
      <c r="B317" s="52"/>
    </row>
    <row r="318" ht="13.5">
      <c r="B318" s="52"/>
    </row>
    <row r="319" ht="13.5">
      <c r="B319" s="52"/>
    </row>
    <row r="320" ht="13.5">
      <c r="B320" s="52"/>
    </row>
    <row r="321" ht="13.5">
      <c r="B321" s="52"/>
    </row>
    <row r="322" ht="13.5">
      <c r="B322" s="52"/>
    </row>
    <row r="323" ht="13.5">
      <c r="B323" s="52"/>
    </row>
    <row r="324" ht="13.5">
      <c r="B324" s="52"/>
    </row>
    <row r="325" ht="13.5">
      <c r="B325" s="52"/>
    </row>
    <row r="326" ht="13.5">
      <c r="B326" s="52"/>
    </row>
    <row r="327" ht="13.5">
      <c r="B327" s="52"/>
    </row>
    <row r="328" ht="13.5">
      <c r="B328" s="52"/>
    </row>
    <row r="329" ht="13.5">
      <c r="B329" s="52"/>
    </row>
    <row r="330" ht="13.5">
      <c r="B330" s="52"/>
    </row>
    <row r="331" ht="13.5">
      <c r="B331" s="52"/>
    </row>
    <row r="332" ht="13.5">
      <c r="B332" s="52"/>
    </row>
    <row r="333" ht="13.5">
      <c r="B333" s="52"/>
    </row>
    <row r="334" ht="13.5">
      <c r="B334" s="52"/>
    </row>
    <row r="335" ht="13.5">
      <c r="B335" s="52"/>
    </row>
    <row r="336" ht="13.5">
      <c r="B336" s="52"/>
    </row>
    <row r="337" ht="13.5">
      <c r="B337" s="52"/>
    </row>
    <row r="338" ht="13.5">
      <c r="B338" s="52"/>
    </row>
    <row r="339" ht="13.5">
      <c r="B339" s="52"/>
    </row>
    <row r="340" ht="13.5">
      <c r="B340" s="52"/>
    </row>
    <row r="341" ht="13.5">
      <c r="B341" s="52"/>
    </row>
    <row r="342" ht="13.5">
      <c r="B342" s="52"/>
    </row>
    <row r="343" ht="13.5">
      <c r="B343" s="52"/>
    </row>
    <row r="344" ht="13.5">
      <c r="B344" s="52"/>
    </row>
    <row r="345" ht="13.5">
      <c r="B345" s="52"/>
    </row>
    <row r="346" ht="13.5">
      <c r="B346" s="52"/>
    </row>
    <row r="347" ht="13.5">
      <c r="B347" s="52"/>
    </row>
    <row r="348" ht="13.5">
      <c r="B348" s="52"/>
    </row>
    <row r="349" ht="13.5">
      <c r="B349" s="52"/>
    </row>
    <row r="350" ht="13.5">
      <c r="B350" s="52"/>
    </row>
    <row r="351" ht="13.5">
      <c r="B351" s="52"/>
    </row>
    <row r="352" ht="13.5">
      <c r="B352" s="52"/>
    </row>
    <row r="353" ht="13.5">
      <c r="B353" s="52"/>
    </row>
    <row r="354" ht="13.5">
      <c r="B354" s="52"/>
    </row>
    <row r="355" ht="13.5">
      <c r="B355" s="52"/>
    </row>
    <row r="356" ht="13.5">
      <c r="B356" s="52"/>
    </row>
    <row r="357" ht="13.5">
      <c r="B357" s="52"/>
    </row>
    <row r="358" ht="13.5">
      <c r="B358" s="52"/>
    </row>
    <row r="359" ht="13.5">
      <c r="B359" s="52"/>
    </row>
    <row r="360" ht="13.5">
      <c r="B360" s="52"/>
    </row>
    <row r="361" ht="13.5">
      <c r="B361" s="52"/>
    </row>
    <row r="362" ht="13.5">
      <c r="B362" s="52"/>
    </row>
    <row r="363" ht="13.5">
      <c r="B363" s="52"/>
    </row>
    <row r="364" ht="13.5">
      <c r="B364" s="52"/>
    </row>
    <row r="365" ht="13.5">
      <c r="B365" s="52"/>
    </row>
    <row r="366" ht="13.5">
      <c r="B366" s="52"/>
    </row>
    <row r="367" ht="13.5">
      <c r="B367" s="52"/>
    </row>
    <row r="368" ht="13.5">
      <c r="B368" s="52"/>
    </row>
    <row r="369" ht="13.5">
      <c r="B369" s="52"/>
    </row>
    <row r="370" ht="13.5">
      <c r="B370" s="52"/>
    </row>
    <row r="371" ht="13.5">
      <c r="B371" s="52"/>
    </row>
    <row r="372" ht="13.5">
      <c r="B372" s="52"/>
    </row>
    <row r="373" ht="13.5">
      <c r="B373" s="52"/>
    </row>
    <row r="374" ht="13.5">
      <c r="B374" s="52"/>
    </row>
    <row r="375" ht="13.5">
      <c r="B375" s="52"/>
    </row>
    <row r="376" ht="13.5">
      <c r="B376" s="52"/>
    </row>
    <row r="377" ht="13.5">
      <c r="B377" s="52"/>
    </row>
    <row r="378" ht="13.5">
      <c r="B378" s="52"/>
    </row>
    <row r="379" ht="13.5">
      <c r="B379" s="52"/>
    </row>
    <row r="380" ht="13.5">
      <c r="B380" s="52"/>
    </row>
    <row r="381" ht="13.5">
      <c r="B381" s="52"/>
    </row>
    <row r="382" ht="13.5">
      <c r="B382" s="52"/>
    </row>
    <row r="383" ht="13.5">
      <c r="B383" s="52"/>
    </row>
    <row r="384" ht="13.5">
      <c r="B384" s="52"/>
    </row>
    <row r="385" ht="13.5">
      <c r="B385" s="52"/>
    </row>
    <row r="386" ht="13.5">
      <c r="B386" s="52"/>
    </row>
    <row r="387" ht="13.5">
      <c r="B387" s="52"/>
    </row>
    <row r="388" ht="13.5">
      <c r="B388" s="52"/>
    </row>
    <row r="389" ht="13.5">
      <c r="B389" s="52"/>
    </row>
    <row r="390" ht="13.5">
      <c r="B390" s="52"/>
    </row>
    <row r="391" ht="13.5">
      <c r="B391" s="52"/>
    </row>
    <row r="392" ht="13.5">
      <c r="B392" s="52"/>
    </row>
    <row r="393" ht="13.5">
      <c r="B393" s="52"/>
    </row>
    <row r="394" ht="13.5">
      <c r="B394" s="52"/>
    </row>
    <row r="395" ht="13.5">
      <c r="B395" s="52"/>
    </row>
    <row r="396" ht="13.5">
      <c r="B396" s="52"/>
    </row>
    <row r="397" ht="13.5">
      <c r="B397" s="52"/>
    </row>
    <row r="398" ht="13.5">
      <c r="B398" s="52"/>
    </row>
    <row r="399" ht="13.5">
      <c r="B399" s="52"/>
    </row>
    <row r="400" ht="13.5">
      <c r="B400" s="52"/>
    </row>
    <row r="401" ht="13.5">
      <c r="B401" s="52"/>
    </row>
    <row r="402" ht="13.5">
      <c r="B402" s="52"/>
    </row>
    <row r="403" ht="13.5">
      <c r="B403" s="52"/>
    </row>
    <row r="404" ht="13.5">
      <c r="B404" s="52"/>
    </row>
    <row r="405" ht="13.5">
      <c r="B405" s="52"/>
    </row>
    <row r="406" ht="13.5">
      <c r="B406" s="52"/>
    </row>
    <row r="407" ht="13.5">
      <c r="B407" s="52"/>
    </row>
    <row r="408" ht="13.5">
      <c r="B408" s="52"/>
    </row>
    <row r="409" ht="13.5">
      <c r="B409" s="52"/>
    </row>
    <row r="410" ht="13.5">
      <c r="B410" s="52"/>
    </row>
    <row r="411" ht="13.5">
      <c r="B411" s="52"/>
    </row>
    <row r="412" ht="13.5">
      <c r="B412" s="52"/>
    </row>
    <row r="413" ht="13.5">
      <c r="B413" s="52"/>
    </row>
    <row r="414" ht="13.5">
      <c r="B414" s="52"/>
    </row>
    <row r="415" ht="13.5">
      <c r="B415" s="52"/>
    </row>
    <row r="416" ht="13.5">
      <c r="B416" s="52"/>
    </row>
    <row r="417" ht="13.5">
      <c r="B417" s="52"/>
    </row>
    <row r="418" ht="13.5">
      <c r="B418" s="52"/>
    </row>
    <row r="419" ht="13.5">
      <c r="B419" s="52"/>
    </row>
    <row r="420" ht="13.5">
      <c r="B420" s="52"/>
    </row>
    <row r="421" ht="13.5">
      <c r="B421" s="52"/>
    </row>
    <row r="422" ht="13.5">
      <c r="B422" s="52"/>
    </row>
    <row r="423" ht="13.5">
      <c r="B423" s="52"/>
    </row>
    <row r="424" ht="13.5">
      <c r="B424" s="52"/>
    </row>
    <row r="425" ht="13.5">
      <c r="B425" s="52"/>
    </row>
    <row r="426" ht="13.5">
      <c r="B426" s="52"/>
    </row>
    <row r="427" ht="13.5">
      <c r="B427" s="52"/>
    </row>
    <row r="428" ht="13.5">
      <c r="B428" s="52"/>
    </row>
    <row r="429" ht="13.5">
      <c r="B429" s="52"/>
    </row>
    <row r="430" ht="13.5">
      <c r="B430" s="52"/>
    </row>
    <row r="431" ht="13.5">
      <c r="B431" s="52"/>
    </row>
    <row r="432" ht="13.5">
      <c r="B432" s="52"/>
    </row>
    <row r="433" ht="13.5">
      <c r="B433" s="52"/>
    </row>
    <row r="434" ht="13.5">
      <c r="B434" s="52"/>
    </row>
    <row r="435" ht="13.5">
      <c r="B435" s="52"/>
    </row>
    <row r="436" ht="13.5">
      <c r="B436" s="52"/>
    </row>
    <row r="437" ht="13.5">
      <c r="B437" s="52"/>
    </row>
    <row r="438" ht="13.5">
      <c r="B438" s="52"/>
    </row>
    <row r="439" ht="13.5">
      <c r="B439" s="52"/>
    </row>
    <row r="440" ht="13.5">
      <c r="B440" s="52"/>
    </row>
    <row r="441" ht="13.5">
      <c r="B441" s="52"/>
    </row>
    <row r="442" ht="13.5">
      <c r="B442" s="52"/>
    </row>
    <row r="443" ht="13.5">
      <c r="B443" s="52"/>
    </row>
    <row r="444" ht="13.5">
      <c r="B444" s="52"/>
    </row>
    <row r="445" ht="13.5">
      <c r="B445" s="52"/>
    </row>
    <row r="446" ht="13.5">
      <c r="B446" s="52"/>
    </row>
    <row r="447" ht="13.5">
      <c r="B447" s="52"/>
    </row>
    <row r="448" ht="13.5">
      <c r="B448" s="52"/>
    </row>
    <row r="449" ht="13.5">
      <c r="B449" s="52"/>
    </row>
    <row r="450" ht="13.5">
      <c r="B450" s="52"/>
    </row>
    <row r="451" ht="13.5">
      <c r="B451" s="52"/>
    </row>
    <row r="452" ht="13.5">
      <c r="B452" s="52"/>
    </row>
    <row r="453" ht="13.5">
      <c r="B453" s="52"/>
    </row>
    <row r="454" ht="13.5">
      <c r="B454" s="52"/>
    </row>
    <row r="455" ht="13.5">
      <c r="B455" s="52"/>
    </row>
    <row r="456" ht="13.5">
      <c r="B456" s="52"/>
    </row>
    <row r="457" ht="13.5">
      <c r="B457" s="52"/>
    </row>
    <row r="458" ht="13.5">
      <c r="B458" s="52"/>
    </row>
    <row r="459" ht="13.5">
      <c r="B459" s="52"/>
    </row>
    <row r="460" ht="13.5">
      <c r="B460" s="52"/>
    </row>
    <row r="461" ht="13.5">
      <c r="B461" s="52"/>
    </row>
    <row r="462" ht="13.5">
      <c r="B462" s="52"/>
    </row>
    <row r="463" ht="13.5">
      <c r="B463" s="52"/>
    </row>
    <row r="464" ht="13.5">
      <c r="B464" s="52"/>
    </row>
    <row r="465" ht="13.5">
      <c r="B465" s="52"/>
    </row>
    <row r="466" ht="13.5">
      <c r="B466" s="52"/>
    </row>
    <row r="467" ht="13.5">
      <c r="B467" s="52"/>
    </row>
    <row r="468" ht="13.5">
      <c r="B468" s="52"/>
    </row>
    <row r="469" ht="13.5">
      <c r="B469" s="52"/>
    </row>
    <row r="470" ht="13.5">
      <c r="B470" s="52"/>
    </row>
    <row r="471" ht="13.5">
      <c r="B471" s="52"/>
    </row>
    <row r="472" ht="13.5">
      <c r="B472" s="52"/>
    </row>
    <row r="473" ht="13.5">
      <c r="B473" s="52"/>
    </row>
    <row r="474" ht="13.5">
      <c r="B474" s="52"/>
    </row>
    <row r="475" ht="13.5">
      <c r="B475" s="52"/>
    </row>
    <row r="476" ht="13.5">
      <c r="B476" s="52"/>
    </row>
    <row r="477" ht="13.5">
      <c r="B477" s="52"/>
    </row>
  </sheetData>
  <mergeCells count="14">
    <mergeCell ref="D10:G10"/>
    <mergeCell ref="H10:H11"/>
    <mergeCell ref="J10:J11"/>
    <mergeCell ref="H3:K3"/>
    <mergeCell ref="A88:B88"/>
    <mergeCell ref="H1:J1"/>
    <mergeCell ref="A6:K6"/>
    <mergeCell ref="A7:K7"/>
    <mergeCell ref="A9:A11"/>
    <mergeCell ref="B9:B11"/>
    <mergeCell ref="C9:G9"/>
    <mergeCell ref="H9:J9"/>
    <mergeCell ref="K9:K11"/>
    <mergeCell ref="C10:C11"/>
  </mergeCells>
  <printOptions/>
  <pageMargins left="0.5511811023622047" right="0.27" top="0.21" bottom="0.25" header="0.21" footer="0.23"/>
  <pageSetup horizontalDpi="600" verticalDpi="600" orientation="portrait" paperSize="9" scale="76" r:id="rId1"/>
  <rowBreaks count="2" manualBreakCount="2">
    <brk id="39" max="10" man="1"/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254"/>
  <sheetViews>
    <sheetView tabSelected="1" view="pageBreakPreview" zoomScale="65" zoomScaleSheetLayoutView="65" workbookViewId="0" topLeftCell="A10">
      <pane xSplit="2" ySplit="4" topLeftCell="C73" activePane="bottomRight" state="frozen"/>
      <selection pane="topLeft" activeCell="A10" sqref="A10"/>
      <selection pane="topRight" activeCell="C10" sqref="C10"/>
      <selection pane="bottomLeft" activeCell="A14" sqref="A14"/>
      <selection pane="bottomRight" activeCell="F66" sqref="F66"/>
    </sheetView>
  </sheetViews>
  <sheetFormatPr defaultColWidth="9.00390625" defaultRowHeight="12.75"/>
  <cols>
    <col min="1" max="1" width="8.125" style="69" customWidth="1"/>
    <col min="2" max="2" width="34.75390625" style="34" customWidth="1"/>
    <col min="3" max="3" width="10.75390625" style="3" customWidth="1"/>
    <col min="4" max="4" width="9.375" style="3" customWidth="1"/>
    <col min="5" max="5" width="8.25390625" style="3" customWidth="1"/>
    <col min="6" max="6" width="9.625" style="3" customWidth="1"/>
    <col min="7" max="7" width="8.125" style="3" customWidth="1"/>
    <col min="8" max="8" width="9.125" style="3" bestFit="1" customWidth="1"/>
    <col min="9" max="9" width="8.75390625" style="3" customWidth="1"/>
    <col min="10" max="10" width="7.00390625" style="3" customWidth="1"/>
    <col min="11" max="11" width="10.875" style="3" customWidth="1"/>
    <col min="12" max="12" width="8.875" style="35" customWidth="1"/>
    <col min="13" max="13" width="9.125" style="35" bestFit="1" customWidth="1"/>
    <col min="14" max="14" width="9.375" style="35" bestFit="1" customWidth="1"/>
    <col min="15" max="59" width="8.875" style="35" customWidth="1"/>
    <col min="60" max="16384" width="8.875" style="3" customWidth="1"/>
  </cols>
  <sheetData>
    <row r="1" spans="6:11" ht="12.75" customHeight="1" hidden="1">
      <c r="F1" s="242"/>
      <c r="G1" s="242"/>
      <c r="H1" s="242"/>
      <c r="I1" s="242"/>
      <c r="J1" s="242"/>
      <c r="K1" s="242"/>
    </row>
    <row r="2" spans="6:11" ht="12.75" customHeight="1" hidden="1">
      <c r="F2" s="5"/>
      <c r="G2" s="5"/>
      <c r="H2" s="5"/>
      <c r="I2" s="5"/>
      <c r="J2" s="5"/>
      <c r="K2" s="5"/>
    </row>
    <row r="3" spans="6:11" ht="12.75" customHeight="1" hidden="1">
      <c r="F3" s="4" t="s">
        <v>114</v>
      </c>
      <c r="G3" s="4"/>
      <c r="H3" s="4"/>
      <c r="I3" s="4"/>
      <c r="J3" s="4"/>
      <c r="K3" s="4"/>
    </row>
    <row r="4" spans="5:11" ht="13.5">
      <c r="E4" s="36" t="s">
        <v>115</v>
      </c>
      <c r="H4" s="243" t="s">
        <v>116</v>
      </c>
      <c r="I4" s="243"/>
      <c r="J4" s="243"/>
      <c r="K4" s="243"/>
    </row>
    <row r="5" spans="8:11" ht="13.5">
      <c r="H5" s="5" t="s">
        <v>51</v>
      </c>
      <c r="I5" s="6"/>
      <c r="J5" s="6"/>
      <c r="K5" s="6"/>
    </row>
    <row r="6" spans="8:11" ht="13.5" customHeight="1">
      <c r="H6" s="202" t="s">
        <v>292</v>
      </c>
      <c r="I6" s="202"/>
      <c r="J6" s="202"/>
      <c r="K6" s="202"/>
    </row>
    <row r="7" ht="13.5" customHeight="1"/>
    <row r="8" spans="1:11" ht="15">
      <c r="A8" s="216" t="s">
        <v>189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</row>
    <row r="9" spans="1:11" ht="15" customHeight="1">
      <c r="A9" s="216" t="s">
        <v>117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</row>
    <row r="10" spans="8:11" ht="14.25" thickBot="1">
      <c r="H10" s="232" t="s">
        <v>190</v>
      </c>
      <c r="I10" s="232"/>
      <c r="J10" s="232"/>
      <c r="K10" s="232"/>
    </row>
    <row r="11" spans="1:11" ht="24.75" customHeight="1" thickBot="1">
      <c r="A11" s="217" t="s">
        <v>53</v>
      </c>
      <c r="B11" s="233" t="s">
        <v>118</v>
      </c>
      <c r="C11" s="236" t="s">
        <v>55</v>
      </c>
      <c r="D11" s="237"/>
      <c r="E11" s="237"/>
      <c r="F11" s="237"/>
      <c r="G11" s="238"/>
      <c r="H11" s="220" t="s">
        <v>56</v>
      </c>
      <c r="I11" s="221"/>
      <c r="J11" s="222"/>
      <c r="K11" s="228" t="s">
        <v>57</v>
      </c>
    </row>
    <row r="12" spans="1:11" ht="40.5" customHeight="1" thickBot="1">
      <c r="A12" s="218"/>
      <c r="B12" s="234"/>
      <c r="C12" s="240" t="s">
        <v>58</v>
      </c>
      <c r="D12" s="236" t="s">
        <v>59</v>
      </c>
      <c r="E12" s="237"/>
      <c r="F12" s="237"/>
      <c r="G12" s="238"/>
      <c r="H12" s="240" t="s">
        <v>58</v>
      </c>
      <c r="I12" s="15" t="s">
        <v>60</v>
      </c>
      <c r="J12" s="228" t="s">
        <v>61</v>
      </c>
      <c r="K12" s="239"/>
    </row>
    <row r="13" spans="1:11" ht="96" customHeight="1" thickBot="1">
      <c r="A13" s="198"/>
      <c r="B13" s="235"/>
      <c r="C13" s="241"/>
      <c r="D13" s="15" t="s">
        <v>62</v>
      </c>
      <c r="E13" s="15" t="s">
        <v>63</v>
      </c>
      <c r="F13" s="15" t="s">
        <v>64</v>
      </c>
      <c r="G13" s="15" t="s">
        <v>119</v>
      </c>
      <c r="H13" s="241"/>
      <c r="I13" s="15" t="s">
        <v>66</v>
      </c>
      <c r="J13" s="229"/>
      <c r="K13" s="229"/>
    </row>
    <row r="14" spans="1:11" ht="14.25" thickBot="1">
      <c r="A14" s="85">
        <v>1</v>
      </c>
      <c r="B14" s="86">
        <v>2</v>
      </c>
      <c r="C14" s="87">
        <v>3</v>
      </c>
      <c r="D14" s="87">
        <v>4</v>
      </c>
      <c r="E14" s="87">
        <v>5</v>
      </c>
      <c r="F14" s="87">
        <v>6</v>
      </c>
      <c r="G14" s="87">
        <v>7</v>
      </c>
      <c r="H14" s="87">
        <v>8</v>
      </c>
      <c r="I14" s="87">
        <v>9</v>
      </c>
      <c r="J14" s="87">
        <v>10</v>
      </c>
      <c r="K14" s="87">
        <v>11</v>
      </c>
    </row>
    <row r="15" spans="1:59" s="38" customFormat="1" ht="13.5">
      <c r="A15" s="94"/>
      <c r="B15" s="95" t="s">
        <v>120</v>
      </c>
      <c r="C15" s="96">
        <f>C16+C18+C19+C22+C24+C25+C26+C17+C20+C21</f>
        <v>19287</v>
      </c>
      <c r="D15" s="96">
        <f>D16+D18+D19+D22+D24+D25+D26+D17+D20+D21+D23</f>
        <v>562.5</v>
      </c>
      <c r="E15" s="96">
        <f>E16+E18+E19+E22+E24+E25+E26+E17+E20+E21+E23</f>
        <v>991.6</v>
      </c>
      <c r="F15" s="96">
        <f>F16+F18+F19+F22+F24+F25+F26+F17+F20+F21+F23</f>
        <v>17119.8</v>
      </c>
      <c r="G15" s="96">
        <f>G16+G18+G19+G22+G24+G25+G26+G17</f>
        <v>613.1</v>
      </c>
      <c r="H15" s="96">
        <f>H16+H18+H19+H22+H24+H25+H26+H23+H20+H21</f>
        <v>20090</v>
      </c>
      <c r="I15" s="96">
        <f>I16+I18+I19+I22+I24+I25+I26+I23</f>
        <v>20090</v>
      </c>
      <c r="J15" s="96">
        <f>J16+J18+J19+J22+J24+J25+J26</f>
        <v>0</v>
      </c>
      <c r="K15" s="97">
        <f>C15+H15</f>
        <v>39377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</row>
    <row r="16" spans="1:59" ht="13.5">
      <c r="A16" s="76" t="s">
        <v>69</v>
      </c>
      <c r="B16" s="40" t="s">
        <v>70</v>
      </c>
      <c r="C16" s="30">
        <f>D16+E16+F16</f>
        <v>3868.8</v>
      </c>
      <c r="D16" s="25">
        <f>539.7+19.4</f>
        <v>559.1</v>
      </c>
      <c r="E16" s="25">
        <v>991.6</v>
      </c>
      <c r="F16" s="25">
        <f>2318.1</f>
        <v>2318.1</v>
      </c>
      <c r="G16" s="25"/>
      <c r="H16" s="25"/>
      <c r="I16" s="25"/>
      <c r="J16" s="25"/>
      <c r="K16" s="98">
        <f aca="true" t="shared" si="0" ref="K16:K109">C16+H16</f>
        <v>3868.8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:59" ht="25.5" customHeight="1">
      <c r="A17" s="76" t="s">
        <v>73</v>
      </c>
      <c r="B17" s="50" t="s">
        <v>74</v>
      </c>
      <c r="C17" s="30">
        <f>D17+E17+F17+G17</f>
        <v>6803.1</v>
      </c>
      <c r="D17" s="25"/>
      <c r="E17" s="25"/>
      <c r="F17" s="25">
        <f>3300+800+1500+590</f>
        <v>6190</v>
      </c>
      <c r="G17" s="25">
        <f>590.1-7+30</f>
        <v>613.1</v>
      </c>
      <c r="H17" s="25"/>
      <c r="I17" s="25"/>
      <c r="J17" s="25"/>
      <c r="K17" s="98">
        <f t="shared" si="0"/>
        <v>6803.1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1:59" ht="27">
      <c r="A18" s="76" t="s">
        <v>121</v>
      </c>
      <c r="B18" s="40" t="s">
        <v>201</v>
      </c>
      <c r="C18" s="30">
        <f aca="true" t="shared" si="1" ref="C18:C26">D18+E18+F18+G18</f>
        <v>36</v>
      </c>
      <c r="D18" s="25"/>
      <c r="E18" s="25"/>
      <c r="F18" s="25">
        <v>36</v>
      </c>
      <c r="G18" s="25"/>
      <c r="H18" s="25"/>
      <c r="I18" s="25"/>
      <c r="J18" s="25"/>
      <c r="K18" s="98">
        <f t="shared" si="0"/>
        <v>36</v>
      </c>
      <c r="L18" s="171"/>
      <c r="M18" s="171"/>
      <c r="N18" s="171"/>
      <c r="O18" s="171"/>
      <c r="P18" s="17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:59" ht="27">
      <c r="A19" s="76" t="s">
        <v>83</v>
      </c>
      <c r="B19" s="24" t="s">
        <v>84</v>
      </c>
      <c r="C19" s="30">
        <f t="shared" si="1"/>
        <v>37</v>
      </c>
      <c r="D19" s="25"/>
      <c r="E19" s="25"/>
      <c r="F19" s="25">
        <f>27+10</f>
        <v>37</v>
      </c>
      <c r="G19" s="25"/>
      <c r="H19" s="25"/>
      <c r="I19" s="25"/>
      <c r="J19" s="25"/>
      <c r="K19" s="98">
        <f t="shared" si="0"/>
        <v>37</v>
      </c>
      <c r="L19" s="171"/>
      <c r="M19" s="104"/>
      <c r="N19" s="104"/>
      <c r="O19" s="104"/>
      <c r="P19" s="172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ht="13.5">
      <c r="A20" s="76" t="s">
        <v>21</v>
      </c>
      <c r="B20" s="24" t="s">
        <v>20</v>
      </c>
      <c r="C20" s="30">
        <f t="shared" si="1"/>
        <v>1501.3</v>
      </c>
      <c r="D20" s="25"/>
      <c r="E20" s="25"/>
      <c r="F20" s="25">
        <f>1000+501.3</f>
        <v>1501.3</v>
      </c>
      <c r="G20" s="25"/>
      <c r="H20" s="25"/>
      <c r="I20" s="25"/>
      <c r="J20" s="25"/>
      <c r="K20" s="98">
        <f t="shared" si="0"/>
        <v>1501.3</v>
      </c>
      <c r="L20" s="171"/>
      <c r="M20" s="104"/>
      <c r="N20" s="104"/>
      <c r="O20" s="104"/>
      <c r="P20" s="172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ht="13.5">
      <c r="A21" s="76" t="s">
        <v>23</v>
      </c>
      <c r="B21" s="24" t="s">
        <v>122</v>
      </c>
      <c r="C21" s="30">
        <f t="shared" si="1"/>
        <v>2035</v>
      </c>
      <c r="D21" s="25"/>
      <c r="E21" s="25"/>
      <c r="F21" s="25">
        <f>1700+335</f>
        <v>2035</v>
      </c>
      <c r="G21" s="25"/>
      <c r="H21" s="25"/>
      <c r="I21" s="25"/>
      <c r="J21" s="25"/>
      <c r="K21" s="98">
        <f t="shared" si="0"/>
        <v>2035</v>
      </c>
      <c r="L21" s="171"/>
      <c r="M21" s="104"/>
      <c r="N21" s="104"/>
      <c r="O21" s="104"/>
      <c r="P21" s="172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ht="27">
      <c r="A22" s="76">
        <v>180109</v>
      </c>
      <c r="B22" s="24" t="s">
        <v>103</v>
      </c>
      <c r="C22" s="30">
        <f t="shared" si="1"/>
        <v>4724.2</v>
      </c>
      <c r="D22" s="25"/>
      <c r="E22" s="25"/>
      <c r="F22" s="25">
        <f>4700.4+38.7-14.9</f>
        <v>4724.2</v>
      </c>
      <c r="G22" s="25"/>
      <c r="H22" s="25"/>
      <c r="I22" s="25"/>
      <c r="J22" s="25"/>
      <c r="K22" s="98">
        <f t="shared" si="0"/>
        <v>4724.2</v>
      </c>
      <c r="L22" s="171"/>
      <c r="M22" s="172"/>
      <c r="N22" s="172"/>
      <c r="O22" s="172"/>
      <c r="P22" s="172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ht="67.5">
      <c r="A23" s="76" t="s">
        <v>5</v>
      </c>
      <c r="B23" s="20" t="s">
        <v>6</v>
      </c>
      <c r="C23" s="30"/>
      <c r="D23" s="25"/>
      <c r="E23" s="25"/>
      <c r="F23" s="25"/>
      <c r="G23" s="25"/>
      <c r="H23" s="25">
        <f>30+30+30</f>
        <v>90</v>
      </c>
      <c r="I23" s="25">
        <f>30+30+30</f>
        <v>90</v>
      </c>
      <c r="J23" s="25"/>
      <c r="K23" s="98">
        <f t="shared" si="0"/>
        <v>90</v>
      </c>
      <c r="L23" s="171"/>
      <c r="M23" s="172"/>
      <c r="N23" s="172"/>
      <c r="O23" s="172"/>
      <c r="P23" s="172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ht="13.5" customHeight="1">
      <c r="A24" s="80">
        <v>150101</v>
      </c>
      <c r="B24" s="20" t="s">
        <v>100</v>
      </c>
      <c r="C24" s="30">
        <f t="shared" si="1"/>
        <v>0</v>
      </c>
      <c r="D24" s="25"/>
      <c r="E24" s="25"/>
      <c r="F24" s="25"/>
      <c r="G24" s="25"/>
      <c r="H24" s="25">
        <v>20000</v>
      </c>
      <c r="I24" s="25">
        <v>20000</v>
      </c>
      <c r="J24" s="25"/>
      <c r="K24" s="98">
        <f t="shared" si="0"/>
        <v>20000</v>
      </c>
      <c r="L24" s="171"/>
      <c r="M24" s="104"/>
      <c r="N24" s="104"/>
      <c r="O24" s="104"/>
      <c r="P24" s="172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1:59" ht="13.5">
      <c r="A25" s="76">
        <v>250404</v>
      </c>
      <c r="B25" s="40" t="s">
        <v>122</v>
      </c>
      <c r="C25" s="30">
        <f t="shared" si="1"/>
        <v>274.6</v>
      </c>
      <c r="D25" s="25"/>
      <c r="E25" s="25"/>
      <c r="F25" s="25">
        <f>225+49.6</f>
        <v>274.6</v>
      </c>
      <c r="G25" s="25"/>
      <c r="H25" s="25"/>
      <c r="I25" s="25"/>
      <c r="J25" s="25"/>
      <c r="K25" s="98">
        <f t="shared" si="0"/>
        <v>274.6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1:59" ht="27">
      <c r="A26" s="76" t="s">
        <v>123</v>
      </c>
      <c r="B26" s="24" t="s">
        <v>197</v>
      </c>
      <c r="C26" s="30">
        <f t="shared" si="1"/>
        <v>7</v>
      </c>
      <c r="D26" s="25">
        <f>1.7+1.7</f>
        <v>3.4</v>
      </c>
      <c r="E26" s="25"/>
      <c r="F26" s="25">
        <f>105-101.5+1.8-1.7</f>
        <v>3.5999999999999996</v>
      </c>
      <c r="G26" s="25"/>
      <c r="H26" s="25"/>
      <c r="I26" s="25"/>
      <c r="J26" s="25"/>
      <c r="K26" s="98">
        <f t="shared" si="0"/>
        <v>7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1:12" s="21" customFormat="1" ht="27.75" customHeight="1">
      <c r="A27" s="78"/>
      <c r="B27" s="55" t="s">
        <v>124</v>
      </c>
      <c r="C27" s="47">
        <f>C28+C31</f>
        <v>86036.3</v>
      </c>
      <c r="D27" s="47">
        <f aca="true" t="shared" si="2" ref="D27:I27">D28+D31</f>
        <v>34494.3</v>
      </c>
      <c r="E27" s="47">
        <f t="shared" si="2"/>
        <v>8444.7</v>
      </c>
      <c r="F27" s="47">
        <f>F28+F31</f>
        <v>40354.100000000006</v>
      </c>
      <c r="G27" s="47">
        <f t="shared" si="2"/>
        <v>2743.2</v>
      </c>
      <c r="H27" s="47">
        <f t="shared" si="2"/>
        <v>1088.8</v>
      </c>
      <c r="I27" s="47">
        <f t="shared" si="2"/>
        <v>0</v>
      </c>
      <c r="J27" s="47"/>
      <c r="K27" s="99">
        <f t="shared" si="0"/>
        <v>87125.1</v>
      </c>
      <c r="L27" s="23"/>
    </row>
    <row r="28" spans="1:59" ht="40.5">
      <c r="A28" s="76" t="s">
        <v>75</v>
      </c>
      <c r="B28" s="24" t="s">
        <v>210</v>
      </c>
      <c r="C28" s="30">
        <f>D28+E28+F28+G28</f>
        <v>85664.2</v>
      </c>
      <c r="D28" s="30">
        <f>32986.3+1305.5</f>
        <v>34291.8</v>
      </c>
      <c r="E28" s="30">
        <v>8440.6</v>
      </c>
      <c r="F28" s="30">
        <f>35411.3+14.9+186.5+1092.6+1900+1583.3</f>
        <v>40188.600000000006</v>
      </c>
      <c r="G28" s="30">
        <f>2906-34+5-133.8</f>
        <v>2743.2</v>
      </c>
      <c r="H28" s="25">
        <v>1088.8</v>
      </c>
      <c r="I28" s="25"/>
      <c r="J28" s="25"/>
      <c r="K28" s="98">
        <f t="shared" si="0"/>
        <v>86753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59" ht="27">
      <c r="A29" s="76"/>
      <c r="B29" s="40" t="s">
        <v>215</v>
      </c>
      <c r="C29" s="30">
        <f>D29+E29+F29+G29</f>
        <v>129.1</v>
      </c>
      <c r="D29" s="25"/>
      <c r="E29" s="25"/>
      <c r="F29" s="25">
        <f>79.5+49.6</f>
        <v>129.1</v>
      </c>
      <c r="G29" s="25"/>
      <c r="H29" s="25"/>
      <c r="I29" s="25"/>
      <c r="J29" s="25"/>
      <c r="K29" s="98">
        <f>C29+H29</f>
        <v>129.1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59" ht="96.75" customHeight="1">
      <c r="A30" s="76"/>
      <c r="B30" s="114" t="s">
        <v>216</v>
      </c>
      <c r="C30" s="30">
        <f>D30+E30+F30+G30</f>
        <v>593.9</v>
      </c>
      <c r="D30" s="25">
        <f>195.1+9.2</f>
        <v>204.29999999999998</v>
      </c>
      <c r="E30" s="25">
        <v>49</v>
      </c>
      <c r="F30" s="25">
        <f>321.6+14.9+4.1</f>
        <v>340.6</v>
      </c>
      <c r="G30" s="25"/>
      <c r="H30" s="25">
        <v>197</v>
      </c>
      <c r="I30" s="25"/>
      <c r="J30" s="25"/>
      <c r="K30" s="98">
        <f>C30+H30</f>
        <v>790.9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59" ht="25.5" customHeight="1">
      <c r="A31" s="76">
        <v>130000</v>
      </c>
      <c r="B31" s="40" t="s">
        <v>125</v>
      </c>
      <c r="C31" s="30">
        <f>D31+E31+F31</f>
        <v>372.1</v>
      </c>
      <c r="D31" s="25">
        <f>200.5+2</f>
        <v>202.5</v>
      </c>
      <c r="E31" s="25">
        <v>4.1</v>
      </c>
      <c r="F31" s="25">
        <f>164.7+0.8</f>
        <v>165.5</v>
      </c>
      <c r="G31" s="25"/>
      <c r="H31" s="25"/>
      <c r="I31" s="25"/>
      <c r="J31" s="25"/>
      <c r="K31" s="98">
        <f t="shared" si="0"/>
        <v>372.1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59" s="21" customFormat="1" ht="13.5">
      <c r="A32" s="78"/>
      <c r="B32" s="56" t="s">
        <v>126</v>
      </c>
      <c r="C32" s="47">
        <f>C33+C36+C37+C38</f>
        <v>249448.1</v>
      </c>
      <c r="D32" s="47">
        <f>D33+D36+D37+D38</f>
        <v>94711.8</v>
      </c>
      <c r="E32" s="47">
        <f>E33+E36+E37+E38</f>
        <v>17763.9</v>
      </c>
      <c r="F32" s="47">
        <f>F33+F36+F37+F38+F34+F39</f>
        <v>127109</v>
      </c>
      <c r="G32" s="47">
        <f>G33+G36+G37+G38</f>
        <v>9863.400000000001</v>
      </c>
      <c r="H32" s="47">
        <f>H33+H36+H37+H38+H39</f>
        <v>22033.300000000003</v>
      </c>
      <c r="I32" s="47">
        <f>I33+I36+I37+I38+I39</f>
        <v>10964.9</v>
      </c>
      <c r="J32" s="47">
        <f>J33+J35+J36+J37</f>
        <v>0</v>
      </c>
      <c r="K32" s="99">
        <f>C32+H32</f>
        <v>271481.4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</row>
    <row r="33" spans="1:59" ht="61.5" customHeight="1">
      <c r="A33" s="76" t="s">
        <v>77</v>
      </c>
      <c r="B33" s="108" t="s">
        <v>284</v>
      </c>
      <c r="C33" s="30">
        <f>D33+E33+F33+G33</f>
        <v>242463.6</v>
      </c>
      <c r="D33" s="25">
        <f>87737.8+4196.7</f>
        <v>91934.5</v>
      </c>
      <c r="E33" s="25">
        <v>17340.4</v>
      </c>
      <c r="F33" s="25">
        <f>94179.5+150+8269+1200+1552.8+400+2360+13814+1400</f>
        <v>123325.3</v>
      </c>
      <c r="G33" s="25">
        <f>G34</f>
        <v>9863.400000000001</v>
      </c>
      <c r="H33" s="25">
        <f>8100</f>
        <v>8100</v>
      </c>
      <c r="I33" s="25"/>
      <c r="J33" s="25"/>
      <c r="K33" s="98">
        <f t="shared" si="0"/>
        <v>250563.6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ht="24" customHeight="1">
      <c r="A34" s="107"/>
      <c r="B34" s="24" t="s">
        <v>3</v>
      </c>
      <c r="C34" s="121">
        <f>D34+E34+F34+G34</f>
        <v>9863.400000000001</v>
      </c>
      <c r="D34" s="25"/>
      <c r="E34" s="25"/>
      <c r="F34" s="25"/>
      <c r="G34" s="25">
        <f>9687.9-37+7.2+47.6+157.7</f>
        <v>9863.400000000001</v>
      </c>
      <c r="H34" s="25"/>
      <c r="I34" s="25"/>
      <c r="J34" s="25"/>
      <c r="K34" s="98">
        <f t="shared" si="0"/>
        <v>9863.400000000001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1:59" ht="13.5">
      <c r="A35" s="76"/>
      <c r="B35" s="109" t="s">
        <v>4</v>
      </c>
      <c r="C35" s="30">
        <f>D35+E35+F35</f>
        <v>19455</v>
      </c>
      <c r="D35" s="25"/>
      <c r="E35" s="25"/>
      <c r="F35" s="25">
        <f>7269+1000+13814-2628</f>
        <v>19455</v>
      </c>
      <c r="G35" s="25"/>
      <c r="H35" s="25"/>
      <c r="I35" s="25"/>
      <c r="J35" s="25"/>
      <c r="K35" s="98">
        <f t="shared" si="0"/>
        <v>19455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59" ht="54">
      <c r="A36" s="76" t="s">
        <v>75</v>
      </c>
      <c r="B36" s="40" t="s">
        <v>217</v>
      </c>
      <c r="C36" s="30">
        <f>D36+E36+F36</f>
        <v>6607.099999999999</v>
      </c>
      <c r="D36" s="25">
        <f>2564.5+111.5</f>
        <v>2676</v>
      </c>
      <c r="E36" s="25">
        <v>411.7</v>
      </c>
      <c r="F36" s="25">
        <f>2926.1+593.3</f>
        <v>3519.3999999999996</v>
      </c>
      <c r="G36" s="25"/>
      <c r="H36" s="25">
        <f>2903.6+64.8</f>
        <v>2968.4</v>
      </c>
      <c r="I36" s="25"/>
      <c r="J36" s="25"/>
      <c r="K36" s="98">
        <f t="shared" si="0"/>
        <v>9575.5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1:59" ht="13.5">
      <c r="A37" s="76">
        <v>110201</v>
      </c>
      <c r="B37" s="40" t="s">
        <v>127</v>
      </c>
      <c r="C37" s="30">
        <f>D37+E37+F37</f>
        <v>377.4</v>
      </c>
      <c r="D37" s="25">
        <f>97.1+4.2</f>
        <v>101.3</v>
      </c>
      <c r="E37" s="25">
        <v>11.8</v>
      </c>
      <c r="F37" s="25">
        <f>262.7+1.6</f>
        <v>264.3</v>
      </c>
      <c r="G37" s="25"/>
      <c r="H37" s="25"/>
      <c r="I37" s="25"/>
      <c r="J37" s="25"/>
      <c r="K37" s="98">
        <f t="shared" si="0"/>
        <v>377.4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1:13" s="21" customFormat="1" ht="55.5" customHeight="1">
      <c r="A38" s="80" t="s">
        <v>269</v>
      </c>
      <c r="B38" s="114" t="s">
        <v>287</v>
      </c>
      <c r="C38" s="30">
        <f>D38+E38+F38</f>
        <v>0</v>
      </c>
      <c r="D38" s="30"/>
      <c r="E38" s="30"/>
      <c r="F38" s="30"/>
      <c r="G38" s="30"/>
      <c r="H38" s="30">
        <f>I38</f>
        <v>10000</v>
      </c>
      <c r="I38" s="30">
        <v>10000</v>
      </c>
      <c r="J38" s="30"/>
      <c r="K38" s="98">
        <f t="shared" si="0"/>
        <v>10000</v>
      </c>
      <c r="L38" s="28"/>
      <c r="M38" s="29"/>
    </row>
    <row r="39" spans="1:13" s="21" customFormat="1" ht="13.5">
      <c r="A39" s="80" t="s">
        <v>18</v>
      </c>
      <c r="B39" s="20" t="s">
        <v>19</v>
      </c>
      <c r="C39" s="30">
        <f>D39+E39+F39</f>
        <v>0</v>
      </c>
      <c r="D39" s="30"/>
      <c r="E39" s="30"/>
      <c r="F39" s="30"/>
      <c r="G39" s="30"/>
      <c r="H39" s="30">
        <f>I39</f>
        <v>964.9</v>
      </c>
      <c r="I39" s="30">
        <f>900+64.9</f>
        <v>964.9</v>
      </c>
      <c r="J39" s="30"/>
      <c r="K39" s="98">
        <f t="shared" si="0"/>
        <v>964.9</v>
      </c>
      <c r="L39" s="28"/>
      <c r="M39" s="29"/>
    </row>
    <row r="40" spans="1:59" s="21" customFormat="1" ht="25.5">
      <c r="A40" s="78"/>
      <c r="B40" s="56" t="s">
        <v>128</v>
      </c>
      <c r="C40" s="47">
        <f>C41+C42+C43+C44+C47+C48+C49+C50+C51+C52+C46</f>
        <v>50247.399999999994</v>
      </c>
      <c r="D40" s="47">
        <f aca="true" t="shared" si="3" ref="D40:I40">D41+D42+D43+D44+D47+D48+D49+D50+D51+D52</f>
        <v>14059.999999999998</v>
      </c>
      <c r="E40" s="47">
        <f t="shared" si="3"/>
        <v>4601.7</v>
      </c>
      <c r="F40" s="47">
        <f>F41+F42+F43+F44+F47+F48+F49+F50+F51+F52+F46</f>
        <v>31580.799999999996</v>
      </c>
      <c r="G40" s="47">
        <f t="shared" si="3"/>
        <v>4.9</v>
      </c>
      <c r="H40" s="47">
        <f>H41+H42+H43+H44+H47+H48+H49+H50+H51+H52+H46</f>
        <v>6743.9</v>
      </c>
      <c r="I40" s="47">
        <f t="shared" si="3"/>
        <v>0</v>
      </c>
      <c r="J40" s="47"/>
      <c r="K40" s="99">
        <f>C40+H40</f>
        <v>56991.299999999996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</row>
    <row r="41" spans="1:59" ht="27" customHeight="1">
      <c r="A41" s="76" t="s">
        <v>81</v>
      </c>
      <c r="B41" s="24" t="s">
        <v>82</v>
      </c>
      <c r="C41" s="30">
        <f>D41+E41+F41</f>
        <v>9.6</v>
      </c>
      <c r="D41" s="25"/>
      <c r="E41" s="25"/>
      <c r="F41" s="25">
        <v>9.6</v>
      </c>
      <c r="G41" s="25"/>
      <c r="H41" s="25"/>
      <c r="I41" s="25"/>
      <c r="J41" s="25"/>
      <c r="K41" s="98">
        <f t="shared" si="0"/>
        <v>9.6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1:59" ht="27">
      <c r="A42" s="76" t="s">
        <v>272</v>
      </c>
      <c r="B42" s="20" t="s">
        <v>273</v>
      </c>
      <c r="C42" s="30">
        <f>D42+E42+F42</f>
        <v>8203.5</v>
      </c>
      <c r="D42" s="25">
        <f>2746.1+171.7</f>
        <v>2917.7999999999997</v>
      </c>
      <c r="E42" s="25">
        <v>657.8</v>
      </c>
      <c r="F42" s="25">
        <f>4220.3+63.6+502-158</f>
        <v>4627.900000000001</v>
      </c>
      <c r="G42" s="25"/>
      <c r="H42" s="25">
        <v>435.4</v>
      </c>
      <c r="I42" s="25"/>
      <c r="J42" s="25"/>
      <c r="K42" s="98">
        <f t="shared" si="0"/>
        <v>8638.9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1:59" ht="40.5">
      <c r="A43" s="76" t="s">
        <v>274</v>
      </c>
      <c r="B43" s="20" t="s">
        <v>275</v>
      </c>
      <c r="C43" s="30">
        <f>D43+E43+F43</f>
        <v>36136.299999999996</v>
      </c>
      <c r="D43" s="25">
        <f>9812.9+494.8+74.4</f>
        <v>10382.099999999999</v>
      </c>
      <c r="E43" s="25">
        <f>3796.7+78.8</f>
        <v>3875.5</v>
      </c>
      <c r="F43" s="25">
        <f>19224.8+183.1+410+2716-502-153.2</f>
        <v>21878.699999999997</v>
      </c>
      <c r="G43" s="25"/>
      <c r="H43" s="25">
        <v>5906.5</v>
      </c>
      <c r="I43" s="25"/>
      <c r="J43" s="25"/>
      <c r="K43" s="98">
        <f t="shared" si="0"/>
        <v>42042.799999999996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1:59" ht="27">
      <c r="A44" s="76" t="s">
        <v>83</v>
      </c>
      <c r="B44" s="24" t="s">
        <v>84</v>
      </c>
      <c r="C44" s="30">
        <f>D44+E44+F44+G44</f>
        <v>1073.9</v>
      </c>
      <c r="D44" s="25"/>
      <c r="E44" s="25"/>
      <c r="F44" s="25">
        <f>50+720+13+256+30</f>
        <v>1069</v>
      </c>
      <c r="G44" s="25">
        <v>4.9</v>
      </c>
      <c r="H44" s="25">
        <v>205</v>
      </c>
      <c r="I44" s="25"/>
      <c r="J44" s="25"/>
      <c r="K44" s="98">
        <f t="shared" si="0"/>
        <v>1278.9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1:59" ht="69">
      <c r="A45" s="76"/>
      <c r="B45" s="88" t="s">
        <v>129</v>
      </c>
      <c r="C45" s="30">
        <v>720</v>
      </c>
      <c r="D45" s="25"/>
      <c r="E45" s="25"/>
      <c r="F45" s="25">
        <v>720</v>
      </c>
      <c r="G45" s="25"/>
      <c r="H45" s="25"/>
      <c r="I45" s="25"/>
      <c r="J45" s="25"/>
      <c r="K45" s="98">
        <f t="shared" si="0"/>
        <v>720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:59" ht="27">
      <c r="A46" s="76" t="s">
        <v>26</v>
      </c>
      <c r="B46" s="20" t="s">
        <v>27</v>
      </c>
      <c r="C46" s="45">
        <f>D46+E46+F46</f>
        <v>1068.3</v>
      </c>
      <c r="D46" s="45"/>
      <c r="E46" s="45"/>
      <c r="F46" s="45">
        <v>1068.3</v>
      </c>
      <c r="G46" s="45"/>
      <c r="H46" s="45"/>
      <c r="I46" s="45"/>
      <c r="J46" s="45"/>
      <c r="K46" s="77">
        <f t="shared" si="0"/>
        <v>1068.3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1:59" ht="40.5">
      <c r="A47" s="76" t="s">
        <v>85</v>
      </c>
      <c r="B47" s="24" t="s">
        <v>130</v>
      </c>
      <c r="C47" s="30">
        <f aca="true" t="shared" si="4" ref="C47:C65">D47+E47+F47</f>
        <v>1012.4000000000001</v>
      </c>
      <c r="D47" s="25"/>
      <c r="E47" s="25"/>
      <c r="F47" s="25">
        <f>518.7+493.7</f>
        <v>1012.4000000000001</v>
      </c>
      <c r="G47" s="25"/>
      <c r="H47" s="25"/>
      <c r="I47" s="25"/>
      <c r="J47" s="25"/>
      <c r="K47" s="98">
        <f t="shared" si="0"/>
        <v>1012.4000000000001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1:59" ht="94.5" customHeight="1">
      <c r="A48" s="76" t="s">
        <v>87</v>
      </c>
      <c r="B48" s="24" t="s">
        <v>195</v>
      </c>
      <c r="C48" s="30">
        <f t="shared" si="4"/>
        <v>500</v>
      </c>
      <c r="D48" s="25"/>
      <c r="E48" s="25"/>
      <c r="F48" s="25">
        <v>500</v>
      </c>
      <c r="G48" s="25"/>
      <c r="H48" s="25"/>
      <c r="I48" s="25"/>
      <c r="J48" s="25"/>
      <c r="K48" s="98">
        <f t="shared" si="0"/>
        <v>500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</row>
    <row r="49" spans="1:59" ht="27">
      <c r="A49" s="76" t="s">
        <v>88</v>
      </c>
      <c r="B49" s="40" t="s">
        <v>89</v>
      </c>
      <c r="C49" s="30">
        <f t="shared" si="4"/>
        <v>100.1</v>
      </c>
      <c r="D49" s="25"/>
      <c r="E49" s="25"/>
      <c r="F49" s="25">
        <f>50.1+50</f>
        <v>100.1</v>
      </c>
      <c r="G49" s="25"/>
      <c r="H49" s="25"/>
      <c r="I49" s="25"/>
      <c r="J49" s="25"/>
      <c r="K49" s="98">
        <f t="shared" si="0"/>
        <v>100.1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</row>
    <row r="50" spans="1:59" ht="27">
      <c r="A50" s="76" t="s">
        <v>279</v>
      </c>
      <c r="B50" s="20" t="s">
        <v>281</v>
      </c>
      <c r="C50" s="30">
        <f t="shared" si="4"/>
        <v>12.1</v>
      </c>
      <c r="D50" s="25">
        <v>8.6</v>
      </c>
      <c r="E50" s="25"/>
      <c r="F50" s="25">
        <v>3.5</v>
      </c>
      <c r="G50" s="25"/>
      <c r="H50" s="25"/>
      <c r="I50" s="25"/>
      <c r="J50" s="25"/>
      <c r="K50" s="98">
        <f t="shared" si="0"/>
        <v>12.1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</row>
    <row r="51" spans="1:59" ht="30" customHeight="1">
      <c r="A51" s="76" t="s">
        <v>90</v>
      </c>
      <c r="B51" s="24" t="s">
        <v>283</v>
      </c>
      <c r="C51" s="30">
        <f t="shared" si="4"/>
        <v>2131.2</v>
      </c>
      <c r="D51" s="25">
        <f>750.8+0.7</f>
        <v>751.5</v>
      </c>
      <c r="E51" s="25">
        <v>68.4</v>
      </c>
      <c r="F51" s="25">
        <f>1153+0.3+158</f>
        <v>1311.3</v>
      </c>
      <c r="G51" s="25"/>
      <c r="H51" s="25">
        <v>197</v>
      </c>
      <c r="I51" s="25"/>
      <c r="J51" s="25"/>
      <c r="K51" s="98">
        <f t="shared" si="0"/>
        <v>2328.2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</row>
    <row r="52" spans="1:59" ht="13.5" hidden="1">
      <c r="A52" s="76" t="s">
        <v>270</v>
      </c>
      <c r="B52" s="112"/>
      <c r="C52" s="30">
        <f t="shared" si="4"/>
        <v>0</v>
      </c>
      <c r="D52" s="30"/>
      <c r="E52" s="30"/>
      <c r="F52" s="30"/>
      <c r="G52" s="30"/>
      <c r="H52" s="30"/>
      <c r="I52" s="30"/>
      <c r="J52" s="30"/>
      <c r="K52" s="98">
        <f>C52+H52</f>
        <v>0</v>
      </c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</row>
    <row r="53" spans="1:59" ht="24" customHeight="1">
      <c r="A53" s="78"/>
      <c r="B53" s="57" t="s">
        <v>131</v>
      </c>
      <c r="C53" s="47">
        <f>C54</f>
        <v>6148.7</v>
      </c>
      <c r="D53" s="47">
        <f aca="true" t="shared" si="5" ref="D53:J53">D54</f>
        <v>2096.7</v>
      </c>
      <c r="E53" s="47">
        <f t="shared" si="5"/>
        <v>669</v>
      </c>
      <c r="F53" s="47">
        <f t="shared" si="5"/>
        <v>3383</v>
      </c>
      <c r="G53" s="47">
        <f t="shared" si="5"/>
        <v>0</v>
      </c>
      <c r="H53" s="47">
        <f t="shared" si="5"/>
        <v>13.2</v>
      </c>
      <c r="I53" s="47">
        <f t="shared" si="5"/>
        <v>0</v>
      </c>
      <c r="J53" s="47">
        <f t="shared" si="5"/>
        <v>0</v>
      </c>
      <c r="K53" s="99">
        <f t="shared" si="0"/>
        <v>6161.9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</row>
    <row r="54" spans="1:59" ht="13.5">
      <c r="A54" s="76" t="s">
        <v>91</v>
      </c>
      <c r="B54" s="40" t="s">
        <v>92</v>
      </c>
      <c r="C54" s="30">
        <f t="shared" si="4"/>
        <v>6148.7</v>
      </c>
      <c r="D54" s="25">
        <v>2096.7</v>
      </c>
      <c r="E54" s="25">
        <v>669</v>
      </c>
      <c r="F54" s="25">
        <v>3383</v>
      </c>
      <c r="G54" s="25"/>
      <c r="H54" s="25">
        <v>13.2</v>
      </c>
      <c r="I54" s="25"/>
      <c r="J54" s="25"/>
      <c r="K54" s="98">
        <f t="shared" si="0"/>
        <v>6161.9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</row>
    <row r="55" spans="1:11" ht="25.5">
      <c r="A55" s="78"/>
      <c r="B55" s="57" t="s">
        <v>290</v>
      </c>
      <c r="C55" s="47">
        <f>D55+E55+F55+G55</f>
        <v>5569.1</v>
      </c>
      <c r="D55" s="47">
        <f aca="true" t="shared" si="6" ref="D55:I55">D56+D57+D58+D59+D60+D61+D62+D63+D64+D65</f>
        <v>345.2</v>
      </c>
      <c r="E55" s="47">
        <f t="shared" si="6"/>
        <v>52.2</v>
      </c>
      <c r="F55" s="47">
        <f>F56+F57+F58+F59+F60+F61+F62+F63+F64+F65</f>
        <v>3233.2999999999997</v>
      </c>
      <c r="G55" s="47">
        <f t="shared" si="6"/>
        <v>1938.4</v>
      </c>
      <c r="H55" s="47">
        <f t="shared" si="6"/>
        <v>0</v>
      </c>
      <c r="I55" s="47">
        <f t="shared" si="6"/>
        <v>0</v>
      </c>
      <c r="J55" s="27"/>
      <c r="K55" s="99">
        <f t="shared" si="0"/>
        <v>5569.1</v>
      </c>
    </row>
    <row r="56" spans="1:59" ht="54">
      <c r="A56" s="76" t="s">
        <v>211</v>
      </c>
      <c r="B56" s="40" t="s">
        <v>212</v>
      </c>
      <c r="C56" s="30">
        <f>D56+E56+F56+G56</f>
        <v>3788.4</v>
      </c>
      <c r="D56" s="30"/>
      <c r="E56" s="30"/>
      <c r="F56" s="30">
        <f>250+1600</f>
        <v>1850</v>
      </c>
      <c r="G56" s="25">
        <f>1807.4+80+51</f>
        <v>1938.4</v>
      </c>
      <c r="H56" s="25"/>
      <c r="I56" s="25"/>
      <c r="J56" s="25"/>
      <c r="K56" s="98">
        <f t="shared" si="0"/>
        <v>3788.4</v>
      </c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</row>
    <row r="57" spans="1:59" ht="27">
      <c r="A57" s="76" t="s">
        <v>243</v>
      </c>
      <c r="B57" s="20" t="s">
        <v>244</v>
      </c>
      <c r="C57" s="30">
        <f t="shared" si="4"/>
        <v>281.9</v>
      </c>
      <c r="D57" s="30">
        <v>155.7</v>
      </c>
      <c r="E57" s="30">
        <f>11</f>
        <v>11</v>
      </c>
      <c r="F57" s="30">
        <f>115.2</f>
        <v>115.2</v>
      </c>
      <c r="G57" s="25"/>
      <c r="H57" s="25"/>
      <c r="I57" s="25"/>
      <c r="J57" s="25"/>
      <c r="K57" s="98">
        <f t="shared" si="0"/>
        <v>281.9</v>
      </c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</row>
    <row r="58" spans="1:59" ht="27">
      <c r="A58" s="76" t="s">
        <v>245</v>
      </c>
      <c r="B58" s="20" t="s">
        <v>276</v>
      </c>
      <c r="C58" s="30">
        <f t="shared" si="4"/>
        <v>152.7</v>
      </c>
      <c r="D58" s="30"/>
      <c r="E58" s="30">
        <v>3.5</v>
      </c>
      <c r="F58" s="30">
        <f>152.7-3.5</f>
        <v>149.2</v>
      </c>
      <c r="G58" s="25"/>
      <c r="H58" s="25"/>
      <c r="I58" s="25"/>
      <c r="J58" s="25"/>
      <c r="K58" s="98">
        <f t="shared" si="0"/>
        <v>152.7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</row>
    <row r="59" spans="1:59" ht="40.5">
      <c r="A59" s="76" t="s">
        <v>246</v>
      </c>
      <c r="B59" s="20" t="s">
        <v>248</v>
      </c>
      <c r="C59" s="30">
        <f t="shared" si="4"/>
        <v>408.1</v>
      </c>
      <c r="D59" s="30"/>
      <c r="E59" s="30"/>
      <c r="F59" s="30">
        <f>374.1-48.1+82.1</f>
        <v>408.1</v>
      </c>
      <c r="G59" s="25"/>
      <c r="H59" s="25"/>
      <c r="I59" s="25"/>
      <c r="J59" s="25"/>
      <c r="K59" s="98">
        <f t="shared" si="0"/>
        <v>408.1</v>
      </c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</row>
    <row r="60" spans="1:59" ht="40.5">
      <c r="A60" s="76" t="s">
        <v>247</v>
      </c>
      <c r="B60" s="20" t="s">
        <v>278</v>
      </c>
      <c r="C60" s="30">
        <f t="shared" si="4"/>
        <v>30</v>
      </c>
      <c r="D60" s="30"/>
      <c r="E60" s="30"/>
      <c r="F60" s="30">
        <v>30</v>
      </c>
      <c r="G60" s="25"/>
      <c r="H60" s="25"/>
      <c r="I60" s="25"/>
      <c r="J60" s="25"/>
      <c r="K60" s="98">
        <f t="shared" si="0"/>
        <v>30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</row>
    <row r="61" spans="1:59" ht="27">
      <c r="A61" s="76" t="s">
        <v>249</v>
      </c>
      <c r="B61" s="20" t="s">
        <v>250</v>
      </c>
      <c r="C61" s="30">
        <f t="shared" si="4"/>
        <v>500.4</v>
      </c>
      <c r="D61" s="30">
        <f>105.2+7.9+20.1</f>
        <v>133.20000000000002</v>
      </c>
      <c r="E61" s="30">
        <f>14+2+0.6</f>
        <v>16.6</v>
      </c>
      <c r="F61" s="30">
        <f>301.7-2+3+28+20.5-0.6</f>
        <v>350.59999999999997</v>
      </c>
      <c r="G61" s="25"/>
      <c r="H61" s="25"/>
      <c r="I61" s="25"/>
      <c r="J61" s="25"/>
      <c r="K61" s="98">
        <f t="shared" si="0"/>
        <v>500.4</v>
      </c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</row>
    <row r="62" spans="1:59" ht="13.5">
      <c r="A62" s="76" t="s">
        <v>251</v>
      </c>
      <c r="B62" s="20" t="s">
        <v>252</v>
      </c>
      <c r="C62" s="30">
        <f t="shared" si="4"/>
        <v>300.9</v>
      </c>
      <c r="D62" s="30">
        <f>38.1+0.7</f>
        <v>38.800000000000004</v>
      </c>
      <c r="E62" s="30">
        <v>21.1</v>
      </c>
      <c r="F62" s="30">
        <f>150-59.2+0.2+150</f>
        <v>241</v>
      </c>
      <c r="G62" s="25"/>
      <c r="H62" s="25"/>
      <c r="I62" s="25"/>
      <c r="J62" s="25"/>
      <c r="K62" s="98">
        <f t="shared" si="0"/>
        <v>300.9</v>
      </c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</row>
    <row r="63" spans="1:59" ht="27">
      <c r="A63" s="76" t="s">
        <v>253</v>
      </c>
      <c r="B63" s="20" t="s">
        <v>254</v>
      </c>
      <c r="C63" s="30">
        <f t="shared" si="4"/>
        <v>40</v>
      </c>
      <c r="D63" s="30"/>
      <c r="E63" s="30"/>
      <c r="F63" s="30">
        <v>40</v>
      </c>
      <c r="G63" s="25"/>
      <c r="H63" s="25"/>
      <c r="I63" s="25"/>
      <c r="J63" s="25"/>
      <c r="K63" s="98">
        <f t="shared" si="0"/>
        <v>40</v>
      </c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</row>
    <row r="64" spans="1:59" ht="13.5">
      <c r="A64" s="76" t="s">
        <v>255</v>
      </c>
      <c r="B64" s="20" t="s">
        <v>256</v>
      </c>
      <c r="C64" s="30">
        <f t="shared" si="4"/>
        <v>26.700000000000003</v>
      </c>
      <c r="D64" s="30">
        <f>16.6+0.9</f>
        <v>17.5</v>
      </c>
      <c r="E64" s="30"/>
      <c r="F64" s="30">
        <f>8.9+0.3</f>
        <v>9.200000000000001</v>
      </c>
      <c r="G64" s="25"/>
      <c r="H64" s="25"/>
      <c r="I64" s="25"/>
      <c r="J64" s="25"/>
      <c r="K64" s="98">
        <f t="shared" si="0"/>
        <v>26.700000000000003</v>
      </c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</row>
    <row r="65" spans="1:59" ht="27">
      <c r="A65" s="76" t="s">
        <v>238</v>
      </c>
      <c r="B65" s="40" t="s">
        <v>239</v>
      </c>
      <c r="C65" s="30">
        <f t="shared" si="4"/>
        <v>40</v>
      </c>
      <c r="D65" s="25"/>
      <c r="E65" s="25"/>
      <c r="F65" s="25">
        <v>40</v>
      </c>
      <c r="G65" s="25"/>
      <c r="H65" s="25"/>
      <c r="I65" s="25"/>
      <c r="J65" s="25"/>
      <c r="K65" s="98">
        <f t="shared" si="0"/>
        <v>40</v>
      </c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</row>
    <row r="66" spans="1:59" s="21" customFormat="1" ht="29.25" customHeight="1">
      <c r="A66" s="78"/>
      <c r="B66" s="57" t="s">
        <v>132</v>
      </c>
      <c r="C66" s="47">
        <f>D66+E66+F66+G66</f>
        <v>36851.3</v>
      </c>
      <c r="D66" s="27"/>
      <c r="E66" s="27"/>
      <c r="F66" s="27">
        <f>10000+14200+5100+1194-1600-1194+1000+1194-1194</f>
        <v>28700</v>
      </c>
      <c r="G66" s="27">
        <f>8537.5-765.3+358.1+21</f>
        <v>8151.3</v>
      </c>
      <c r="H66" s="27"/>
      <c r="I66" s="27"/>
      <c r="J66" s="27"/>
      <c r="K66" s="99">
        <f t="shared" si="0"/>
        <v>36851.3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</row>
    <row r="67" spans="1:59" s="21" customFormat="1" ht="40.5" customHeight="1">
      <c r="A67" s="76" t="s">
        <v>38</v>
      </c>
      <c r="B67" s="20" t="s">
        <v>37</v>
      </c>
      <c r="C67" s="30">
        <f>F67</f>
        <v>3500</v>
      </c>
      <c r="D67" s="25"/>
      <c r="E67" s="25"/>
      <c r="F67" s="25">
        <f>5100-1600</f>
        <v>3500</v>
      </c>
      <c r="G67" s="27"/>
      <c r="H67" s="27"/>
      <c r="I67" s="27"/>
      <c r="J67" s="27"/>
      <c r="K67" s="99">
        <f t="shared" si="0"/>
        <v>3500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</row>
    <row r="68" spans="1:12" ht="24.75" customHeight="1">
      <c r="A68" s="76"/>
      <c r="B68" s="57" t="s">
        <v>25</v>
      </c>
      <c r="C68" s="47">
        <f>C71+C72+C74+C75+C76+C69+C70</f>
        <v>45798.299999999996</v>
      </c>
      <c r="D68" s="47">
        <f aca="true" t="shared" si="7" ref="D68:I68">D71+D72+D74+D75+D76+D69+D70</f>
        <v>7152.3</v>
      </c>
      <c r="E68" s="47">
        <f t="shared" si="7"/>
        <v>1035.1</v>
      </c>
      <c r="F68" s="47">
        <f>F71+F72+F74+F75+F76+F69+F70</f>
        <v>34054.9</v>
      </c>
      <c r="G68" s="47">
        <f t="shared" si="7"/>
        <v>3556</v>
      </c>
      <c r="H68" s="47">
        <f t="shared" si="7"/>
        <v>731.6</v>
      </c>
      <c r="I68" s="47">
        <f t="shared" si="7"/>
        <v>0</v>
      </c>
      <c r="J68" s="27"/>
      <c r="K68" s="99">
        <f t="shared" si="0"/>
        <v>46529.899999999994</v>
      </c>
      <c r="L68" s="41"/>
    </row>
    <row r="69" spans="1:59" ht="13.5">
      <c r="A69" s="76" t="s">
        <v>233</v>
      </c>
      <c r="B69" s="20" t="s">
        <v>235</v>
      </c>
      <c r="C69" s="30">
        <f>D69+E69+F69+G69</f>
        <v>22570.3</v>
      </c>
      <c r="D69" s="30"/>
      <c r="E69" s="30"/>
      <c r="F69" s="30">
        <f>14416.9+3724+468.3+31.1+430</f>
        <v>19070.3</v>
      </c>
      <c r="G69" s="30">
        <f>2000+500+1000</f>
        <v>3500</v>
      </c>
      <c r="H69" s="30"/>
      <c r="I69" s="30"/>
      <c r="J69" s="25"/>
      <c r="K69" s="98">
        <f t="shared" si="0"/>
        <v>22570.3</v>
      </c>
      <c r="L69" s="73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</row>
    <row r="70" spans="1:59" ht="24.75" customHeight="1">
      <c r="A70" s="76" t="s">
        <v>234</v>
      </c>
      <c r="B70" s="20" t="s">
        <v>236</v>
      </c>
      <c r="C70" s="30">
        <f>D70+E70+F70+G70</f>
        <v>7374.2</v>
      </c>
      <c r="D70" s="30"/>
      <c r="E70" s="30"/>
      <c r="F70" s="30">
        <f>6736+98+65.3-81.1+500</f>
        <v>7318.2</v>
      </c>
      <c r="G70" s="30">
        <v>56</v>
      </c>
      <c r="H70" s="30"/>
      <c r="I70" s="30"/>
      <c r="J70" s="25"/>
      <c r="K70" s="98">
        <f t="shared" si="0"/>
        <v>7374.2</v>
      </c>
      <c r="L70" s="73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</row>
    <row r="71" spans="1:59" ht="40.5">
      <c r="A71" s="76" t="s">
        <v>133</v>
      </c>
      <c r="B71" s="40" t="s">
        <v>219</v>
      </c>
      <c r="C71" s="30">
        <f aca="true" t="shared" si="8" ref="C71:C76">D71+E71+F71</f>
        <v>5888.4</v>
      </c>
      <c r="D71" s="25">
        <f>1606.4+39.8</f>
        <v>1646.2</v>
      </c>
      <c r="E71" s="25">
        <v>406.4</v>
      </c>
      <c r="F71" s="25">
        <f>3196.7+500+124.3+14.8</f>
        <v>3835.8</v>
      </c>
      <c r="G71" s="25"/>
      <c r="H71" s="25">
        <v>465</v>
      </c>
      <c r="I71" s="25"/>
      <c r="J71" s="25"/>
      <c r="K71" s="98">
        <f t="shared" si="0"/>
        <v>6353.4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</row>
    <row r="72" spans="1:59" ht="54.75" customHeight="1">
      <c r="A72" s="80" t="s">
        <v>75</v>
      </c>
      <c r="B72" s="89" t="s">
        <v>213</v>
      </c>
      <c r="C72" s="30">
        <f t="shared" si="8"/>
        <v>9340.6</v>
      </c>
      <c r="D72" s="25">
        <f>5149.5+356.6</f>
        <v>5506.1</v>
      </c>
      <c r="E72" s="25">
        <v>628.7</v>
      </c>
      <c r="F72" s="25">
        <f>2785.9+411.2+8.7</f>
        <v>3205.7999999999997</v>
      </c>
      <c r="G72" s="25"/>
      <c r="H72" s="25">
        <v>266.6</v>
      </c>
      <c r="I72" s="25"/>
      <c r="J72" s="25"/>
      <c r="K72" s="98">
        <f t="shared" si="0"/>
        <v>9607.2</v>
      </c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</row>
    <row r="73" spans="1:59" ht="27">
      <c r="A73" s="80"/>
      <c r="B73" s="89" t="s">
        <v>214</v>
      </c>
      <c r="C73" s="30">
        <f t="shared" si="8"/>
        <v>20.9</v>
      </c>
      <c r="D73" s="25"/>
      <c r="E73" s="25"/>
      <c r="F73" s="25">
        <f>12.2+8.7</f>
        <v>20.9</v>
      </c>
      <c r="G73" s="25"/>
      <c r="H73" s="25"/>
      <c r="I73" s="25"/>
      <c r="J73" s="25"/>
      <c r="K73" s="98">
        <f t="shared" si="0"/>
        <v>20.9</v>
      </c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</row>
    <row r="74" spans="1:59" ht="27">
      <c r="A74" s="76">
        <v>110300</v>
      </c>
      <c r="B74" s="40" t="s">
        <v>134</v>
      </c>
      <c r="C74" s="30">
        <f t="shared" si="8"/>
        <v>304.3</v>
      </c>
      <c r="D74" s="25"/>
      <c r="E74" s="25"/>
      <c r="F74" s="25">
        <f>200+49+5.3+50</f>
        <v>304.3</v>
      </c>
      <c r="G74" s="25"/>
      <c r="H74" s="25"/>
      <c r="I74" s="25"/>
      <c r="J74" s="25"/>
      <c r="K74" s="98">
        <f t="shared" si="0"/>
        <v>304.3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59" ht="27">
      <c r="A75" s="76">
        <v>120300</v>
      </c>
      <c r="B75" s="40" t="s">
        <v>135</v>
      </c>
      <c r="C75" s="30">
        <f t="shared" si="8"/>
        <v>65.9</v>
      </c>
      <c r="D75" s="25"/>
      <c r="E75" s="25"/>
      <c r="F75" s="25">
        <v>65.9</v>
      </c>
      <c r="G75" s="25"/>
      <c r="H75" s="25"/>
      <c r="I75" s="25"/>
      <c r="J75" s="25"/>
      <c r="K75" s="98">
        <f t="shared" si="0"/>
        <v>65.9</v>
      </c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</row>
    <row r="76" spans="1:59" ht="27" customHeight="1">
      <c r="A76" s="76">
        <v>120300</v>
      </c>
      <c r="B76" s="40" t="s">
        <v>136</v>
      </c>
      <c r="C76" s="30">
        <f t="shared" si="8"/>
        <v>254.6</v>
      </c>
      <c r="D76" s="25"/>
      <c r="E76" s="25"/>
      <c r="F76" s="25">
        <v>254.6</v>
      </c>
      <c r="G76" s="25"/>
      <c r="H76" s="25"/>
      <c r="I76" s="25"/>
      <c r="J76" s="25"/>
      <c r="K76" s="98">
        <f>C76+H76</f>
        <v>254.6</v>
      </c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</row>
    <row r="77" spans="1:59" s="21" customFormat="1" ht="25.5">
      <c r="A77" s="78"/>
      <c r="B77" s="57" t="s">
        <v>137</v>
      </c>
      <c r="C77" s="47">
        <f>C78+C79+C81+C80</f>
        <v>5487.8</v>
      </c>
      <c r="D77" s="47">
        <f>D78+D79+D81++D80</f>
        <v>0</v>
      </c>
      <c r="E77" s="47">
        <f>E78+E79+E81++E80</f>
        <v>0</v>
      </c>
      <c r="F77" s="47">
        <f>F78+F79+F81++F80</f>
        <v>4377.8</v>
      </c>
      <c r="G77" s="27">
        <f>G79</f>
        <v>1110</v>
      </c>
      <c r="H77" s="27"/>
      <c r="I77" s="27"/>
      <c r="J77" s="27"/>
      <c r="K77" s="99">
        <f t="shared" si="0"/>
        <v>5487.8</v>
      </c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59" ht="27">
      <c r="A78" s="80">
        <v>180109</v>
      </c>
      <c r="B78" s="20" t="s">
        <v>103</v>
      </c>
      <c r="C78" s="30">
        <f>D78+E78+F78</f>
        <v>400</v>
      </c>
      <c r="D78" s="90"/>
      <c r="E78" s="90"/>
      <c r="F78" s="91">
        <v>400</v>
      </c>
      <c r="G78" s="25"/>
      <c r="H78" s="25"/>
      <c r="I78" s="25"/>
      <c r="J78" s="25"/>
      <c r="K78" s="98">
        <f t="shared" si="0"/>
        <v>400</v>
      </c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</row>
    <row r="79" spans="1:59" ht="27" customHeight="1">
      <c r="A79" s="76" t="s">
        <v>202</v>
      </c>
      <c r="B79" s="89" t="s">
        <v>96</v>
      </c>
      <c r="C79" s="30">
        <f>D79+E79+F79+G79</f>
        <v>4287</v>
      </c>
      <c r="D79" s="25"/>
      <c r="E79" s="25"/>
      <c r="F79" s="25">
        <f>4200-623-400</f>
        <v>3177</v>
      </c>
      <c r="G79" s="25">
        <f>1201-49-42</f>
        <v>1110</v>
      </c>
      <c r="H79" s="25"/>
      <c r="I79" s="25"/>
      <c r="J79" s="25"/>
      <c r="K79" s="98">
        <f t="shared" si="0"/>
        <v>4287</v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</row>
    <row r="80" spans="1:59" ht="13.5" customHeight="1">
      <c r="A80" s="80">
        <v>120300</v>
      </c>
      <c r="B80" s="20" t="s">
        <v>97</v>
      </c>
      <c r="C80" s="30">
        <f>D80+E80+F80</f>
        <v>623</v>
      </c>
      <c r="D80" s="25"/>
      <c r="E80" s="25"/>
      <c r="F80" s="25">
        <v>623</v>
      </c>
      <c r="G80" s="25"/>
      <c r="H80" s="25"/>
      <c r="I80" s="25"/>
      <c r="J80" s="25"/>
      <c r="K80" s="98">
        <f t="shared" si="0"/>
        <v>623</v>
      </c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59" ht="27">
      <c r="A81" s="76">
        <v>120300</v>
      </c>
      <c r="B81" s="40" t="s">
        <v>138</v>
      </c>
      <c r="C81" s="30">
        <f>D81+E81+F81</f>
        <v>177.8</v>
      </c>
      <c r="D81" s="25"/>
      <c r="E81" s="25"/>
      <c r="F81" s="25">
        <v>177.8</v>
      </c>
      <c r="G81" s="25"/>
      <c r="H81" s="25"/>
      <c r="I81" s="25"/>
      <c r="J81" s="25"/>
      <c r="K81" s="98">
        <f t="shared" si="0"/>
        <v>177.8</v>
      </c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1:59" s="21" customFormat="1" ht="25.5">
      <c r="A82" s="68"/>
      <c r="B82" s="57" t="s">
        <v>139</v>
      </c>
      <c r="C82" s="47">
        <f aca="true" t="shared" si="9" ref="C82:H82">C83+C84+C85</f>
        <v>20911.7</v>
      </c>
      <c r="D82" s="47">
        <f t="shared" si="9"/>
        <v>2532.8</v>
      </c>
      <c r="E82" s="47">
        <f t="shared" si="9"/>
        <v>171.1</v>
      </c>
      <c r="F82" s="47">
        <f>F83+F84+F85</f>
        <v>18168.8</v>
      </c>
      <c r="G82" s="47">
        <f t="shared" si="9"/>
        <v>39</v>
      </c>
      <c r="H82" s="47">
        <f t="shared" si="9"/>
        <v>3</v>
      </c>
      <c r="I82" s="27"/>
      <c r="J82" s="27"/>
      <c r="K82" s="99">
        <f>C82+H82</f>
        <v>20914.7</v>
      </c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ht="67.5">
      <c r="A83" s="76">
        <v>130000</v>
      </c>
      <c r="B83" s="40" t="s">
        <v>285</v>
      </c>
      <c r="C83" s="30">
        <f>D83+E83+F83+G83</f>
        <v>16813.6</v>
      </c>
      <c r="D83" s="25">
        <f>1414.6</f>
        <v>1414.6</v>
      </c>
      <c r="E83" s="25">
        <v>20.7</v>
      </c>
      <c r="F83" s="25">
        <f>14155.5+1000+233.8-50</f>
        <v>15339.3</v>
      </c>
      <c r="G83" s="25">
        <v>39</v>
      </c>
      <c r="H83" s="25"/>
      <c r="I83" s="25"/>
      <c r="J83" s="25"/>
      <c r="K83" s="98">
        <f>C83+H83</f>
        <v>16813.6</v>
      </c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ht="27">
      <c r="A84" s="76" t="s">
        <v>193</v>
      </c>
      <c r="B84" s="89" t="s">
        <v>218</v>
      </c>
      <c r="C84" s="30">
        <f>D84+E84+F84</f>
        <v>3716.9</v>
      </c>
      <c r="D84" s="25">
        <f>884.1+54.8</f>
        <v>938.9</v>
      </c>
      <c r="E84" s="25">
        <f>129+4.6</f>
        <v>133.6</v>
      </c>
      <c r="F84" s="25">
        <f>2537.1+61.9+50-4.6</f>
        <v>2644.4</v>
      </c>
      <c r="G84" s="25"/>
      <c r="H84" s="25"/>
      <c r="I84" s="25"/>
      <c r="J84" s="25"/>
      <c r="K84" s="98">
        <f t="shared" si="0"/>
        <v>3716.9</v>
      </c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</row>
    <row r="85" spans="1:59" ht="28.5" customHeight="1">
      <c r="A85" s="76" t="s">
        <v>203</v>
      </c>
      <c r="B85" s="114" t="s">
        <v>0</v>
      </c>
      <c r="C85" s="30">
        <f>D85+E85+F85</f>
        <v>381.20000000000005</v>
      </c>
      <c r="D85" s="25">
        <f>169+10.3</f>
        <v>179.3</v>
      </c>
      <c r="E85" s="25">
        <v>16.8</v>
      </c>
      <c r="F85" s="25">
        <f>181.3+3.8</f>
        <v>185.10000000000002</v>
      </c>
      <c r="G85" s="25"/>
      <c r="H85" s="25">
        <v>3</v>
      </c>
      <c r="I85" s="25"/>
      <c r="J85" s="25"/>
      <c r="K85" s="98">
        <f t="shared" si="0"/>
        <v>384.20000000000005</v>
      </c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</row>
    <row r="86" spans="1:59" ht="25.5">
      <c r="A86" s="76"/>
      <c r="B86" s="123" t="s">
        <v>9</v>
      </c>
      <c r="C86" s="47">
        <f>C87+C88+C89+C90+C91+C92</f>
        <v>1194</v>
      </c>
      <c r="D86" s="25"/>
      <c r="E86" s="25"/>
      <c r="F86" s="27">
        <f>F87+F92</f>
        <v>1194</v>
      </c>
      <c r="G86" s="25"/>
      <c r="H86" s="27">
        <f>H87+H88+H89+H90+H91</f>
        <v>38987.299999999996</v>
      </c>
      <c r="I86" s="27">
        <f>I87+I88+I89+I90+I91</f>
        <v>38987.299999999996</v>
      </c>
      <c r="J86" s="27">
        <f>J87+J88</f>
        <v>406.5</v>
      </c>
      <c r="K86" s="99">
        <f>C86+H86</f>
        <v>40181.299999999996</v>
      </c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</row>
    <row r="87" spans="1:59" ht="13.5">
      <c r="A87" s="76" t="s">
        <v>204</v>
      </c>
      <c r="B87" s="20" t="s">
        <v>100</v>
      </c>
      <c r="C87" s="30">
        <f>D87+E87+F87</f>
        <v>0</v>
      </c>
      <c r="D87" s="25"/>
      <c r="E87" s="25"/>
      <c r="F87" s="25">
        <f>610+584-1194</f>
        <v>0</v>
      </c>
      <c r="G87" s="25"/>
      <c r="H87" s="25">
        <f>I87</f>
        <v>17650.5</v>
      </c>
      <c r="I87" s="25">
        <f>J87+10096.5-406.5+600+1500+4654+300+500</f>
        <v>17650.5</v>
      </c>
      <c r="J87" s="25">
        <v>406.5</v>
      </c>
      <c r="K87" s="98">
        <f>H87</f>
        <v>17650.5</v>
      </c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</row>
    <row r="88" spans="1:59" ht="217.5" customHeight="1">
      <c r="A88" s="76" t="s">
        <v>282</v>
      </c>
      <c r="B88" s="114" t="s">
        <v>288</v>
      </c>
      <c r="C88" s="30">
        <f>D88+E88+F88</f>
        <v>0</v>
      </c>
      <c r="D88" s="25"/>
      <c r="E88" s="25"/>
      <c r="F88" s="25"/>
      <c r="G88" s="25"/>
      <c r="H88" s="25">
        <f>I88</f>
        <v>6692.7</v>
      </c>
      <c r="I88" s="25">
        <v>6692.7</v>
      </c>
      <c r="J88" s="25"/>
      <c r="K88" s="98">
        <f>H88+C88</f>
        <v>6692.7</v>
      </c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1:59" ht="40.5">
      <c r="A89" s="76" t="s">
        <v>266</v>
      </c>
      <c r="B89" s="114" t="s">
        <v>265</v>
      </c>
      <c r="C89" s="30">
        <v>0</v>
      </c>
      <c r="D89" s="25"/>
      <c r="E89" s="25"/>
      <c r="F89" s="25"/>
      <c r="G89" s="25"/>
      <c r="H89" s="25">
        <f>I89</f>
        <v>2840</v>
      </c>
      <c r="I89" s="25">
        <v>2840</v>
      </c>
      <c r="J89" s="25"/>
      <c r="K89" s="98">
        <f>H89+C89</f>
        <v>2840</v>
      </c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59" ht="13.5">
      <c r="A90" s="76" t="s">
        <v>267</v>
      </c>
      <c r="B90" s="114" t="s">
        <v>268</v>
      </c>
      <c r="C90" s="30">
        <v>0</v>
      </c>
      <c r="D90" s="25"/>
      <c r="E90" s="25"/>
      <c r="F90" s="25"/>
      <c r="G90" s="25"/>
      <c r="H90" s="25">
        <f>I90</f>
        <v>11000</v>
      </c>
      <c r="I90" s="25">
        <v>11000</v>
      </c>
      <c r="J90" s="25"/>
      <c r="K90" s="98">
        <f>H90+C90</f>
        <v>11000</v>
      </c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1:59" ht="13.5">
      <c r="A91" s="80" t="s">
        <v>18</v>
      </c>
      <c r="B91" s="20" t="s">
        <v>19</v>
      </c>
      <c r="C91" s="30">
        <v>0</v>
      </c>
      <c r="D91" s="25"/>
      <c r="E91" s="25"/>
      <c r="F91" s="25"/>
      <c r="G91" s="25"/>
      <c r="H91" s="25">
        <f>I91</f>
        <v>804.1</v>
      </c>
      <c r="I91" s="25">
        <f>750+54.1</f>
        <v>804.1</v>
      </c>
      <c r="J91" s="25"/>
      <c r="K91" s="98">
        <f>H91+C91</f>
        <v>804.1</v>
      </c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1:59" ht="13.5">
      <c r="A92" s="80" t="s">
        <v>302</v>
      </c>
      <c r="B92" s="20" t="s">
        <v>93</v>
      </c>
      <c r="C92" s="30">
        <f>D92+E92+F92</f>
        <v>1194</v>
      </c>
      <c r="D92" s="25"/>
      <c r="E92" s="25"/>
      <c r="F92" s="25">
        <v>1194</v>
      </c>
      <c r="G92" s="25"/>
      <c r="H92" s="25"/>
      <c r="I92" s="25"/>
      <c r="J92" s="25"/>
      <c r="K92" s="98">
        <f>H92+C92</f>
        <v>1194</v>
      </c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</row>
    <row r="93" spans="1:59" ht="25.5">
      <c r="A93" s="76"/>
      <c r="B93" s="123" t="s">
        <v>10</v>
      </c>
      <c r="C93" s="30"/>
      <c r="D93" s="25"/>
      <c r="E93" s="25"/>
      <c r="F93" s="25"/>
      <c r="G93" s="25"/>
      <c r="H93" s="27">
        <f>H94</f>
        <v>100</v>
      </c>
      <c r="I93" s="27">
        <f>I94</f>
        <v>100</v>
      </c>
      <c r="J93" s="27"/>
      <c r="K93" s="99">
        <f>K94</f>
        <v>100</v>
      </c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</row>
    <row r="94" spans="1:59" ht="13.5">
      <c r="A94" s="76" t="s">
        <v>204</v>
      </c>
      <c r="B94" s="20" t="s">
        <v>100</v>
      </c>
      <c r="C94" s="30">
        <f>D94+E94+F94</f>
        <v>0</v>
      </c>
      <c r="D94" s="25"/>
      <c r="E94" s="25"/>
      <c r="F94" s="25"/>
      <c r="G94" s="25"/>
      <c r="H94" s="25">
        <v>100</v>
      </c>
      <c r="I94" s="25">
        <f>H94</f>
        <v>100</v>
      </c>
      <c r="J94" s="25"/>
      <c r="K94" s="98">
        <f>C94+H94</f>
        <v>100</v>
      </c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</row>
    <row r="95" spans="1:59" s="21" customFormat="1" ht="51">
      <c r="A95" s="78"/>
      <c r="B95" s="58" t="s">
        <v>191</v>
      </c>
      <c r="C95" s="47">
        <f>C96</f>
        <v>4868.6</v>
      </c>
      <c r="D95" s="47">
        <f>D96</f>
        <v>0</v>
      </c>
      <c r="E95" s="47">
        <f>E96</f>
        <v>0</v>
      </c>
      <c r="F95" s="47">
        <f>F96</f>
        <v>3785.9</v>
      </c>
      <c r="G95" s="27">
        <f>G96</f>
        <v>1082.6999999999998</v>
      </c>
      <c r="H95" s="27"/>
      <c r="I95" s="27"/>
      <c r="J95" s="27"/>
      <c r="K95" s="99">
        <f t="shared" si="0"/>
        <v>4868.6</v>
      </c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</row>
    <row r="96" spans="1:59" ht="40.5">
      <c r="A96" s="76">
        <v>210000</v>
      </c>
      <c r="B96" s="22" t="s">
        <v>196</v>
      </c>
      <c r="C96" s="30">
        <f>D96+E96+F96+G96</f>
        <v>4868.6</v>
      </c>
      <c r="D96" s="25"/>
      <c r="E96" s="25"/>
      <c r="F96" s="25">
        <f>1800+198.6+150+820+117+300+400.3</f>
        <v>3785.9</v>
      </c>
      <c r="G96" s="25">
        <f>1110.3+8.1-35.7</f>
        <v>1082.6999999999998</v>
      </c>
      <c r="H96" s="25"/>
      <c r="I96" s="25"/>
      <c r="J96" s="25"/>
      <c r="K96" s="98">
        <f t="shared" si="0"/>
        <v>4868.6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</row>
    <row r="97" spans="1:59" s="21" customFormat="1" ht="13.5">
      <c r="A97" s="78"/>
      <c r="B97" s="58" t="s">
        <v>140</v>
      </c>
      <c r="C97" s="47">
        <f>C98</f>
        <v>200</v>
      </c>
      <c r="D97" s="47">
        <f>D98</f>
        <v>0</v>
      </c>
      <c r="E97" s="47">
        <f>E98</f>
        <v>0</v>
      </c>
      <c r="F97" s="47">
        <v>200</v>
      </c>
      <c r="G97" s="27"/>
      <c r="H97" s="27"/>
      <c r="I97" s="27"/>
      <c r="J97" s="27"/>
      <c r="K97" s="99">
        <f t="shared" si="0"/>
        <v>200</v>
      </c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  <row r="98" spans="1:59" s="21" customFormat="1" ht="27">
      <c r="A98" s="80">
        <v>180404</v>
      </c>
      <c r="B98" s="24" t="s">
        <v>104</v>
      </c>
      <c r="C98" s="30">
        <f>D98+E98+F98</f>
        <v>200</v>
      </c>
      <c r="D98" s="25"/>
      <c r="E98" s="25"/>
      <c r="F98" s="25">
        <v>200</v>
      </c>
      <c r="G98" s="25"/>
      <c r="H98" s="25"/>
      <c r="I98" s="25"/>
      <c r="J98" s="25"/>
      <c r="K98" s="98">
        <f t="shared" si="0"/>
        <v>200</v>
      </c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</row>
    <row r="99" spans="1:59" s="21" customFormat="1" ht="38.25">
      <c r="A99" s="80"/>
      <c r="B99" s="55" t="s">
        <v>192</v>
      </c>
      <c r="C99" s="47">
        <f>C100</f>
        <v>390</v>
      </c>
      <c r="D99" s="47">
        <f>D100</f>
        <v>0</v>
      </c>
      <c r="E99" s="47">
        <f>E100</f>
        <v>0</v>
      </c>
      <c r="F99" s="47">
        <f>F100</f>
        <v>390</v>
      </c>
      <c r="G99" s="25"/>
      <c r="H99" s="25"/>
      <c r="I99" s="25"/>
      <c r="J99" s="25"/>
      <c r="K99" s="99">
        <f t="shared" si="0"/>
        <v>390</v>
      </c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</row>
    <row r="100" spans="1:59" s="21" customFormat="1" ht="27">
      <c r="A100" s="76">
        <v>180109</v>
      </c>
      <c r="B100" s="24" t="s">
        <v>103</v>
      </c>
      <c r="C100" s="30">
        <f>D100+E100+F100</f>
        <v>390</v>
      </c>
      <c r="D100" s="25"/>
      <c r="E100" s="25"/>
      <c r="F100" s="25">
        <v>390</v>
      </c>
      <c r="G100" s="25"/>
      <c r="H100" s="25"/>
      <c r="I100" s="25"/>
      <c r="J100" s="25"/>
      <c r="K100" s="98">
        <f t="shared" si="0"/>
        <v>390</v>
      </c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</row>
    <row r="101" spans="1:59" s="21" customFormat="1" ht="13.5">
      <c r="A101" s="78"/>
      <c r="B101" s="57" t="s">
        <v>141</v>
      </c>
      <c r="C101" s="47">
        <f>C102+C103+C104+C105+C106+C108+C109+C110+C111+C112+C113+C114+C115+C117+C118+C119+C120+C122+C121+C124+C116+C123+C125+C107+C126+C127</f>
        <v>658267.9</v>
      </c>
      <c r="D101" s="47">
        <f>D102+D103+D104+D105+D106+D108+D109+D110+D111+D112+D113+D114+D115+D117+D118+D119+D120+D122+D121</f>
        <v>0</v>
      </c>
      <c r="E101" s="47">
        <f>E102+E103+E104+E105+E106+E108+E109+E110+E111+E112+E113+E114+E115+E117+E118+E119+E120+E122+E121</f>
        <v>0</v>
      </c>
      <c r="F101" s="47">
        <f>F102+F103+F104+F105+F106+F108+F109+F110+F111+F112+F113+F114+F115+F117+F118+F119+F120+F122+F121+F124+F116+F123+F125+F107+F126+F127</f>
        <v>658267.9</v>
      </c>
      <c r="G101" s="47">
        <f>G102+G103+G104+G105+G106+G108+G109+G110+G111+G112+G113+G114+G115+G117+G118+G119+G120+G122+G121</f>
        <v>0</v>
      </c>
      <c r="H101" s="47">
        <f>H102+H103+H104+H105+H106+H108+H109+H110+H111+H112+H113+H114+H115+H117+H118+H119+H120+H122+H121</f>
        <v>80513.2</v>
      </c>
      <c r="I101" s="47">
        <f>I102+I103+I104+I105+I106+I108+I109+I110+I111+I112+I113+I114+I115+I117+I118+I119+I120+I122+I121</f>
        <v>1010</v>
      </c>
      <c r="J101" s="47"/>
      <c r="K101" s="99">
        <f>C101+H101</f>
        <v>738781.1</v>
      </c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</row>
    <row r="102" spans="1:59" ht="13.5">
      <c r="A102" s="76" t="s">
        <v>204</v>
      </c>
      <c r="B102" s="20" t="s">
        <v>100</v>
      </c>
      <c r="C102" s="30">
        <f aca="true" t="shared" si="10" ref="C102:C127">D102+E102+F102</f>
        <v>0</v>
      </c>
      <c r="D102" s="25"/>
      <c r="E102" s="25"/>
      <c r="F102" s="25"/>
      <c r="G102" s="25"/>
      <c r="H102" s="25">
        <f>12000+900+1000-2000-500-9120-670-600</f>
        <v>1010</v>
      </c>
      <c r="I102" s="25">
        <f>H102</f>
        <v>1010</v>
      </c>
      <c r="J102" s="25"/>
      <c r="K102" s="98">
        <f t="shared" si="0"/>
        <v>1010</v>
      </c>
      <c r="L102" s="105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</row>
    <row r="103" spans="1:59" ht="14.25" customHeight="1" hidden="1">
      <c r="A103" s="76" t="s">
        <v>282</v>
      </c>
      <c r="B103" s="114" t="s">
        <v>288</v>
      </c>
      <c r="C103" s="30">
        <f t="shared" si="10"/>
        <v>0</v>
      </c>
      <c r="D103" s="25"/>
      <c r="E103" s="25"/>
      <c r="F103" s="25"/>
      <c r="G103" s="25"/>
      <c r="H103" s="25">
        <f>I103</f>
        <v>0</v>
      </c>
      <c r="I103" s="25"/>
      <c r="J103" s="25"/>
      <c r="K103" s="98">
        <f t="shared" si="0"/>
        <v>0</v>
      </c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</row>
    <row r="104" spans="1:59" ht="12" customHeight="1" hidden="1">
      <c r="A104" s="76" t="s">
        <v>266</v>
      </c>
      <c r="B104" s="120" t="s">
        <v>265</v>
      </c>
      <c r="C104" s="30">
        <f t="shared" si="10"/>
        <v>0</v>
      </c>
      <c r="D104" s="25"/>
      <c r="E104" s="25"/>
      <c r="F104" s="25"/>
      <c r="G104" s="25"/>
      <c r="H104" s="25">
        <f>I104</f>
        <v>0</v>
      </c>
      <c r="I104" s="25"/>
      <c r="J104" s="25"/>
      <c r="K104" s="98">
        <f t="shared" si="0"/>
        <v>0</v>
      </c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</row>
    <row r="105" spans="1:59" ht="12" customHeight="1" hidden="1">
      <c r="A105" s="76" t="s">
        <v>267</v>
      </c>
      <c r="B105" s="20" t="s">
        <v>268</v>
      </c>
      <c r="C105" s="30">
        <f t="shared" si="10"/>
        <v>0</v>
      </c>
      <c r="D105" s="25"/>
      <c r="E105" s="25"/>
      <c r="F105" s="25"/>
      <c r="G105" s="25"/>
      <c r="H105" s="25">
        <f>I105</f>
        <v>0</v>
      </c>
      <c r="I105" s="25"/>
      <c r="J105" s="25"/>
      <c r="K105" s="98">
        <f t="shared" si="0"/>
        <v>0</v>
      </c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</row>
    <row r="106" spans="1:59" ht="52.5" customHeight="1">
      <c r="A106" s="76">
        <v>170703</v>
      </c>
      <c r="B106" s="20" t="s">
        <v>102</v>
      </c>
      <c r="C106" s="30">
        <f t="shared" si="10"/>
        <v>0</v>
      </c>
      <c r="D106" s="25"/>
      <c r="E106" s="25"/>
      <c r="F106" s="25"/>
      <c r="G106" s="25"/>
      <c r="H106" s="25">
        <v>29400</v>
      </c>
      <c r="I106" s="25"/>
      <c r="J106" s="25"/>
      <c r="K106" s="98">
        <f t="shared" si="0"/>
        <v>29400</v>
      </c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</row>
    <row r="107" spans="1:59" ht="27">
      <c r="A107" s="76" t="s">
        <v>22</v>
      </c>
      <c r="B107" s="24" t="s">
        <v>103</v>
      </c>
      <c r="C107" s="30">
        <f>D107+E107+F107</f>
        <v>5407.2</v>
      </c>
      <c r="D107" s="25"/>
      <c r="E107" s="25"/>
      <c r="F107" s="25">
        <f>2703.7+2703.7-0.2</f>
        <v>5407.2</v>
      </c>
      <c r="G107" s="25"/>
      <c r="H107" s="25"/>
      <c r="I107" s="25"/>
      <c r="J107" s="25"/>
      <c r="K107" s="98">
        <f t="shared" si="0"/>
        <v>5407.2</v>
      </c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</row>
    <row r="108" spans="1:59" ht="27.75" customHeight="1">
      <c r="A108" s="76" t="s">
        <v>142</v>
      </c>
      <c r="B108" s="20" t="s">
        <v>143</v>
      </c>
      <c r="C108" s="30">
        <f t="shared" si="10"/>
        <v>0</v>
      </c>
      <c r="D108" s="25"/>
      <c r="E108" s="25"/>
      <c r="F108" s="25"/>
      <c r="G108" s="25"/>
      <c r="H108" s="25">
        <v>665.4</v>
      </c>
      <c r="I108" s="25"/>
      <c r="J108" s="25"/>
      <c r="K108" s="98">
        <f>C108+H108</f>
        <v>665.4</v>
      </c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</row>
    <row r="109" spans="1:59" ht="13.5">
      <c r="A109" s="80">
        <v>230000</v>
      </c>
      <c r="B109" s="24" t="s">
        <v>105</v>
      </c>
      <c r="C109" s="30">
        <f t="shared" si="10"/>
        <v>0.1</v>
      </c>
      <c r="D109" s="25"/>
      <c r="E109" s="25"/>
      <c r="F109" s="25">
        <v>0.1</v>
      </c>
      <c r="G109" s="25"/>
      <c r="H109" s="25"/>
      <c r="I109" s="25"/>
      <c r="J109" s="25"/>
      <c r="K109" s="98">
        <f t="shared" si="0"/>
        <v>0.1</v>
      </c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</row>
    <row r="110" spans="1:59" ht="67.5" customHeight="1">
      <c r="A110" s="76" t="s">
        <v>145</v>
      </c>
      <c r="B110" s="24" t="s">
        <v>107</v>
      </c>
      <c r="C110" s="30">
        <f t="shared" si="10"/>
        <v>0</v>
      </c>
      <c r="D110" s="25"/>
      <c r="E110" s="25"/>
      <c r="F110" s="25"/>
      <c r="G110" s="25"/>
      <c r="H110" s="25">
        <f>38000+2200</f>
        <v>40200</v>
      </c>
      <c r="I110" s="25"/>
      <c r="J110" s="25"/>
      <c r="K110" s="98">
        <f aca="true" t="shared" si="11" ref="K110:K127">C110+H110</f>
        <v>40200</v>
      </c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</row>
    <row r="111" spans="1:59" ht="13.5">
      <c r="A111" s="76">
        <v>250102</v>
      </c>
      <c r="B111" s="40" t="s">
        <v>109</v>
      </c>
      <c r="C111" s="30">
        <f t="shared" si="10"/>
        <v>1531.4</v>
      </c>
      <c r="D111" s="25"/>
      <c r="E111" s="25"/>
      <c r="F111" s="25">
        <f>4000-500-500-198.6-150-820-300</f>
        <v>1531.4</v>
      </c>
      <c r="G111" s="25"/>
      <c r="H111" s="25"/>
      <c r="I111" s="25"/>
      <c r="J111" s="25"/>
      <c r="K111" s="98">
        <f t="shared" si="11"/>
        <v>1531.4</v>
      </c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</row>
    <row r="112" spans="1:59" ht="67.5">
      <c r="A112" s="80">
        <v>250301</v>
      </c>
      <c r="B112" s="51" t="s">
        <v>200</v>
      </c>
      <c r="C112" s="30">
        <f t="shared" si="10"/>
        <v>14715</v>
      </c>
      <c r="D112" s="25"/>
      <c r="E112" s="25"/>
      <c r="F112" s="25">
        <v>14715</v>
      </c>
      <c r="G112" s="25"/>
      <c r="H112" s="25"/>
      <c r="I112" s="25"/>
      <c r="J112" s="25"/>
      <c r="K112" s="98">
        <f t="shared" si="11"/>
        <v>14715</v>
      </c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</row>
    <row r="113" spans="1:59" ht="40.5">
      <c r="A113" s="80">
        <v>250306</v>
      </c>
      <c r="B113" s="24" t="s">
        <v>112</v>
      </c>
      <c r="C113" s="30">
        <f t="shared" si="10"/>
        <v>69845.7</v>
      </c>
      <c r="D113" s="25"/>
      <c r="E113" s="25"/>
      <c r="F113" s="25">
        <f>48032.7+12000+900+30+1650+119+1500+30+100+4654+300+500+30</f>
        <v>69845.7</v>
      </c>
      <c r="G113" s="25"/>
      <c r="H113" s="25"/>
      <c r="I113" s="25"/>
      <c r="J113" s="25"/>
      <c r="K113" s="98">
        <f t="shared" si="11"/>
        <v>69845.7</v>
      </c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</row>
    <row r="114" spans="1:59" ht="27">
      <c r="A114" s="80" t="s">
        <v>221</v>
      </c>
      <c r="B114" s="20" t="s">
        <v>257</v>
      </c>
      <c r="C114" s="30">
        <f t="shared" si="10"/>
        <v>226.20000000000002</v>
      </c>
      <c r="D114" s="25"/>
      <c r="E114" s="25"/>
      <c r="F114" s="25">
        <f>101.5+101.5+73.1-47.8-2.1</f>
        <v>226.20000000000002</v>
      </c>
      <c r="G114" s="25"/>
      <c r="H114" s="25"/>
      <c r="I114" s="25"/>
      <c r="J114" s="25"/>
      <c r="K114" s="98">
        <f t="shared" si="11"/>
        <v>226.20000000000002</v>
      </c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</row>
    <row r="115" spans="1:59" ht="108.75">
      <c r="A115" s="80">
        <v>250313</v>
      </c>
      <c r="B115" s="48" t="s">
        <v>198</v>
      </c>
      <c r="C115" s="30">
        <f t="shared" si="10"/>
        <v>21399.2</v>
      </c>
      <c r="D115" s="25"/>
      <c r="E115" s="25"/>
      <c r="F115" s="25">
        <f>21892.9-493.7</f>
        <v>21399.2</v>
      </c>
      <c r="G115" s="25"/>
      <c r="H115" s="25"/>
      <c r="I115" s="25"/>
      <c r="J115" s="25"/>
      <c r="K115" s="98">
        <f t="shared" si="11"/>
        <v>21399.2</v>
      </c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</row>
    <row r="116" spans="1:59" ht="40.5">
      <c r="A116" s="80" t="s">
        <v>17</v>
      </c>
      <c r="B116" s="48" t="s">
        <v>13</v>
      </c>
      <c r="C116" s="30">
        <f t="shared" si="10"/>
        <v>41966</v>
      </c>
      <c r="D116" s="25"/>
      <c r="E116" s="25"/>
      <c r="F116" s="30">
        <f>43616-1650</f>
        <v>41966</v>
      </c>
      <c r="G116" s="25"/>
      <c r="H116" s="25"/>
      <c r="I116" s="25"/>
      <c r="J116" s="25"/>
      <c r="K116" s="98">
        <f t="shared" si="11"/>
        <v>41966</v>
      </c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</row>
    <row r="117" spans="1:59" ht="67.5">
      <c r="A117" s="80" t="s">
        <v>230</v>
      </c>
      <c r="B117" s="48" t="s">
        <v>223</v>
      </c>
      <c r="C117" s="30">
        <f t="shared" si="10"/>
        <v>93935.5</v>
      </c>
      <c r="D117" s="25"/>
      <c r="E117" s="25"/>
      <c r="F117" s="25">
        <v>93935.5</v>
      </c>
      <c r="G117" s="25"/>
      <c r="H117" s="25"/>
      <c r="I117" s="25"/>
      <c r="J117" s="25"/>
      <c r="K117" s="98">
        <f t="shared" si="11"/>
        <v>93935.5</v>
      </c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</row>
    <row r="118" spans="1:13" s="21" customFormat="1" ht="409.5" customHeight="1">
      <c r="A118" s="80" t="s">
        <v>231</v>
      </c>
      <c r="B118" s="196" t="s">
        <v>49</v>
      </c>
      <c r="C118" s="30">
        <f t="shared" si="10"/>
        <v>195261</v>
      </c>
      <c r="D118" s="30"/>
      <c r="E118" s="30"/>
      <c r="F118" s="30">
        <f>173905.7+21355.3</f>
        <v>195261</v>
      </c>
      <c r="G118" s="30"/>
      <c r="H118" s="30"/>
      <c r="I118" s="30"/>
      <c r="J118" s="30"/>
      <c r="K118" s="98">
        <f t="shared" si="11"/>
        <v>195261</v>
      </c>
      <c r="L118" s="28"/>
      <c r="M118" s="29"/>
    </row>
    <row r="119" spans="1:13" s="21" customFormat="1" ht="242.25" customHeight="1">
      <c r="A119" s="80" t="s">
        <v>220</v>
      </c>
      <c r="B119" s="114" t="s">
        <v>286</v>
      </c>
      <c r="C119" s="30">
        <f t="shared" si="10"/>
        <v>65374</v>
      </c>
      <c r="D119" s="30"/>
      <c r="E119" s="30"/>
      <c r="F119" s="30">
        <f>60229.2+5144.8</f>
        <v>65374</v>
      </c>
      <c r="G119" s="30"/>
      <c r="H119" s="30"/>
      <c r="I119" s="30"/>
      <c r="J119" s="30"/>
      <c r="K119" s="98">
        <f t="shared" si="11"/>
        <v>65374</v>
      </c>
      <c r="L119" s="28"/>
      <c r="M119" s="29"/>
    </row>
    <row r="120" spans="1:13" s="21" customFormat="1" ht="177" customHeight="1">
      <c r="A120" s="80" t="s">
        <v>232</v>
      </c>
      <c r="B120" s="114" t="s">
        <v>227</v>
      </c>
      <c r="C120" s="30">
        <f t="shared" si="10"/>
        <v>21042.2</v>
      </c>
      <c r="D120" s="30"/>
      <c r="E120" s="30"/>
      <c r="F120" s="30">
        <v>21042.2</v>
      </c>
      <c r="G120" s="30"/>
      <c r="H120" s="30"/>
      <c r="I120" s="30"/>
      <c r="J120" s="30"/>
      <c r="K120" s="98">
        <f t="shared" si="11"/>
        <v>21042.2</v>
      </c>
      <c r="L120" s="28"/>
      <c r="M120" s="29"/>
    </row>
    <row r="121" spans="1:13" s="21" customFormat="1" ht="27">
      <c r="A121" s="80" t="s">
        <v>270</v>
      </c>
      <c r="B121" s="20" t="s">
        <v>271</v>
      </c>
      <c r="C121" s="30">
        <f t="shared" si="10"/>
        <v>8802.600000000006</v>
      </c>
      <c r="D121" s="30"/>
      <c r="E121" s="30"/>
      <c r="F121" s="30">
        <f>31006.3+72616.7-94820.4</f>
        <v>8802.600000000006</v>
      </c>
      <c r="G121" s="30"/>
      <c r="H121" s="30"/>
      <c r="I121" s="30"/>
      <c r="J121" s="30"/>
      <c r="K121" s="81">
        <f t="shared" si="11"/>
        <v>8802.600000000006</v>
      </c>
      <c r="L121" s="28"/>
      <c r="M121" s="29"/>
    </row>
    <row r="122" spans="1:12" s="21" customFormat="1" ht="55.5" customHeight="1">
      <c r="A122" s="80" t="s">
        <v>240</v>
      </c>
      <c r="B122" s="114" t="s">
        <v>229</v>
      </c>
      <c r="C122" s="30">
        <f t="shared" si="10"/>
        <v>0</v>
      </c>
      <c r="D122" s="30"/>
      <c r="E122" s="30"/>
      <c r="F122" s="30"/>
      <c r="G122" s="30"/>
      <c r="H122" s="30">
        <f>9037.8+200</f>
        <v>9237.8</v>
      </c>
      <c r="I122" s="30"/>
      <c r="J122" s="30"/>
      <c r="K122" s="98">
        <f t="shared" si="11"/>
        <v>9237.8</v>
      </c>
      <c r="L122" s="23"/>
    </row>
    <row r="123" spans="1:12" s="21" customFormat="1" ht="112.5" customHeight="1">
      <c r="A123" s="80" t="s">
        <v>16</v>
      </c>
      <c r="B123" s="114" t="s">
        <v>15</v>
      </c>
      <c r="C123" s="30">
        <f t="shared" si="10"/>
        <v>33441</v>
      </c>
      <c r="D123" s="30"/>
      <c r="E123" s="30"/>
      <c r="F123" s="30">
        <v>33441</v>
      </c>
      <c r="G123" s="30"/>
      <c r="H123" s="30"/>
      <c r="I123" s="30"/>
      <c r="J123" s="30"/>
      <c r="K123" s="98">
        <f t="shared" si="11"/>
        <v>33441</v>
      </c>
      <c r="L123" s="23"/>
    </row>
    <row r="124" spans="1:12" s="21" customFormat="1" ht="13.5">
      <c r="A124" s="80" t="s">
        <v>7</v>
      </c>
      <c r="B124" s="114" t="s">
        <v>8</v>
      </c>
      <c r="C124" s="30">
        <f t="shared" si="10"/>
        <v>5240</v>
      </c>
      <c r="D124" s="30"/>
      <c r="E124" s="30"/>
      <c r="F124" s="30">
        <f>200+1140+450+2550+900</f>
        <v>5240</v>
      </c>
      <c r="G124" s="30"/>
      <c r="H124" s="30"/>
      <c r="I124" s="30"/>
      <c r="J124" s="30"/>
      <c r="K124" s="98">
        <f t="shared" si="11"/>
        <v>5240</v>
      </c>
      <c r="L124" s="23"/>
    </row>
    <row r="125" spans="1:12" s="21" customFormat="1" ht="121.5" customHeight="1">
      <c r="A125" s="82" t="s">
        <v>263</v>
      </c>
      <c r="B125" s="48" t="s">
        <v>299</v>
      </c>
      <c r="C125" s="30">
        <f t="shared" si="10"/>
        <v>47780.8</v>
      </c>
      <c r="D125" s="60"/>
      <c r="E125" s="60"/>
      <c r="F125" s="60">
        <v>47780.8</v>
      </c>
      <c r="G125" s="60"/>
      <c r="H125" s="60"/>
      <c r="I125" s="60"/>
      <c r="J125" s="60"/>
      <c r="K125" s="115">
        <f t="shared" si="11"/>
        <v>47780.8</v>
      </c>
      <c r="L125" s="23"/>
    </row>
    <row r="126" spans="1:12" s="21" customFormat="1" ht="40.5">
      <c r="A126" s="80" t="s">
        <v>262</v>
      </c>
      <c r="B126" s="114" t="s">
        <v>28</v>
      </c>
      <c r="C126" s="30">
        <f t="shared" si="10"/>
        <v>5800</v>
      </c>
      <c r="D126" s="30"/>
      <c r="E126" s="30"/>
      <c r="F126" s="30">
        <v>5800</v>
      </c>
      <c r="G126" s="30"/>
      <c r="H126" s="30"/>
      <c r="I126" s="30"/>
      <c r="J126" s="30"/>
      <c r="K126" s="115">
        <f t="shared" si="11"/>
        <v>5800</v>
      </c>
      <c r="L126" s="23"/>
    </row>
    <row r="127" spans="1:12" s="21" customFormat="1" ht="68.25" customHeight="1" thickBot="1">
      <c r="A127" s="80" t="s">
        <v>48</v>
      </c>
      <c r="B127" s="114" t="s">
        <v>29</v>
      </c>
      <c r="C127" s="30">
        <f t="shared" si="10"/>
        <v>26500</v>
      </c>
      <c r="D127" s="30"/>
      <c r="E127" s="30"/>
      <c r="F127" s="30">
        <f>24900+1600</f>
        <v>26500</v>
      </c>
      <c r="G127" s="30"/>
      <c r="H127" s="30"/>
      <c r="I127" s="30"/>
      <c r="J127" s="30"/>
      <c r="K127" s="115">
        <f t="shared" si="11"/>
        <v>26500</v>
      </c>
      <c r="L127" s="23"/>
    </row>
    <row r="128" spans="1:59" s="21" customFormat="1" ht="14.25" customHeight="1" thickBot="1">
      <c r="A128" s="230" t="s">
        <v>113</v>
      </c>
      <c r="B128" s="231"/>
      <c r="C128" s="100">
        <f>C15+C27+C32+C40+C53+C55+C66+C68+C77+C82+C95+C97+C101+C99+D93+C86</f>
        <v>1190706.2</v>
      </c>
      <c r="D128" s="100">
        <f>D15+D27+D32+D40+D53+D55+D66+D68+D77+D82+D95+D97+D101+D99+E93</f>
        <v>155955.6</v>
      </c>
      <c r="E128" s="100">
        <f>E15+E27+E32+E40+E53+E55+E66+E68+E77+E82+E95+E97+E101+E99+F93</f>
        <v>33729.3</v>
      </c>
      <c r="F128" s="100">
        <f>F15+F27+F32+F40+F53+F55+F66+F68+F77+F82+F95+F97+F101+F99+G93+F86</f>
        <v>971919.3</v>
      </c>
      <c r="G128" s="100">
        <f>G15+G27+G32+G40+G53+G55+G66+G68+G77+G82+G95+G97+G101+G93</f>
        <v>29102</v>
      </c>
      <c r="H128" s="100">
        <f>H15+H27+H32+H40+H53+H55+H66+H68+H77+H82+H95+H97+H101+H86+H93</f>
        <v>170304.3</v>
      </c>
      <c r="I128" s="100">
        <f>I15+I27+I32+I40+I53+I55+I66+I77+I82+I95+I97+I101+I86+I93</f>
        <v>71152.2</v>
      </c>
      <c r="J128" s="100">
        <f>J86</f>
        <v>406.5</v>
      </c>
      <c r="K128" s="101">
        <f>K15+K27+K32+K40+K53+K55+K66+K68+K77+K82+K95+K97+K101+K99+K86+K93</f>
        <v>1361010.5</v>
      </c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</row>
    <row r="129" spans="1:59" s="8" customFormat="1" ht="13.5">
      <c r="A129" s="92"/>
      <c r="B129" s="93"/>
      <c r="C129" s="28">
        <v>1190706.2</v>
      </c>
      <c r="D129" s="28">
        <v>155955.6</v>
      </c>
      <c r="E129" s="28">
        <v>33729.3</v>
      </c>
      <c r="F129" s="28">
        <v>971919.3</v>
      </c>
      <c r="G129" s="28">
        <v>29102</v>
      </c>
      <c r="H129" s="28">
        <v>170304.3</v>
      </c>
      <c r="I129" s="28">
        <v>71152.2</v>
      </c>
      <c r="J129" s="28">
        <v>406.5</v>
      </c>
      <c r="K129" s="28">
        <v>1361010.5</v>
      </c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</row>
    <row r="130" spans="3:11" ht="13.5">
      <c r="C130" s="32"/>
      <c r="K130" s="32"/>
    </row>
    <row r="131" spans="3:11" ht="13.5"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3:6" ht="14.25">
      <c r="C132" s="41"/>
      <c r="F132" s="113"/>
    </row>
    <row r="133" spans="3:11" ht="13.5">
      <c r="C133" s="43"/>
      <c r="D133" s="44" t="s">
        <v>115</v>
      </c>
      <c r="E133" s="44"/>
      <c r="F133" s="44"/>
      <c r="G133" s="44"/>
      <c r="H133" s="43"/>
      <c r="I133" s="44"/>
      <c r="K133" s="43"/>
    </row>
    <row r="134" spans="3:11" ht="13.5">
      <c r="C134" s="41"/>
      <c r="D134" s="32"/>
      <c r="E134" s="32"/>
      <c r="F134" s="32"/>
      <c r="G134" s="32"/>
      <c r="H134" s="32"/>
      <c r="I134" s="32"/>
      <c r="J134" s="32"/>
      <c r="K134" s="32"/>
    </row>
    <row r="135" spans="3:12" ht="13.5">
      <c r="C135" s="104"/>
      <c r="D135" s="104"/>
      <c r="E135" s="104"/>
      <c r="F135" s="104"/>
      <c r="G135" s="104"/>
      <c r="H135" s="104"/>
      <c r="I135" s="104"/>
      <c r="J135" s="104"/>
      <c r="K135" s="104"/>
      <c r="L135" s="105"/>
    </row>
    <row r="136" spans="3:12" ht="13.5">
      <c r="C136" s="105"/>
      <c r="D136" s="32"/>
      <c r="E136" s="32"/>
      <c r="F136" s="32"/>
      <c r="G136" s="32"/>
      <c r="H136" s="32"/>
      <c r="I136" s="32"/>
      <c r="J136" s="32"/>
      <c r="K136" s="32"/>
      <c r="L136" s="73"/>
    </row>
    <row r="137" ht="13.5">
      <c r="C137" s="35"/>
    </row>
    <row r="138" ht="13.5">
      <c r="C138" s="35"/>
    </row>
    <row r="139" spans="3:6" ht="13.5">
      <c r="C139" s="35"/>
      <c r="F139" s="33"/>
    </row>
    <row r="140" ht="13.5">
      <c r="C140" s="35"/>
    </row>
    <row r="141" ht="13.5">
      <c r="C141" s="35"/>
    </row>
    <row r="142" ht="13.5">
      <c r="C142" s="35"/>
    </row>
    <row r="143" ht="13.5">
      <c r="C143" s="35"/>
    </row>
    <row r="144" ht="13.5">
      <c r="C144" s="35"/>
    </row>
    <row r="145" ht="13.5">
      <c r="C145" s="35"/>
    </row>
    <row r="146" ht="13.5">
      <c r="C146" s="35"/>
    </row>
    <row r="147" ht="13.5">
      <c r="C147" s="35"/>
    </row>
    <row r="148" ht="13.5">
      <c r="C148" s="35"/>
    </row>
    <row r="149" ht="13.5">
      <c r="C149" s="35"/>
    </row>
    <row r="150" ht="13.5">
      <c r="C150" s="35"/>
    </row>
    <row r="151" ht="13.5">
      <c r="C151" s="35"/>
    </row>
    <row r="152" ht="13.5">
      <c r="C152" s="35"/>
    </row>
    <row r="153" ht="13.5">
      <c r="C153" s="35"/>
    </row>
    <row r="154" ht="13.5">
      <c r="C154" s="35"/>
    </row>
    <row r="155" ht="13.5">
      <c r="C155" s="35"/>
    </row>
    <row r="156" ht="13.5">
      <c r="C156" s="35"/>
    </row>
    <row r="157" ht="13.5">
      <c r="C157" s="35"/>
    </row>
    <row r="158" ht="13.5">
      <c r="C158" s="35"/>
    </row>
    <row r="159" ht="13.5">
      <c r="C159" s="35"/>
    </row>
    <row r="160" ht="13.5">
      <c r="C160" s="35"/>
    </row>
    <row r="161" ht="13.5">
      <c r="C161" s="35"/>
    </row>
    <row r="162" ht="13.5">
      <c r="C162" s="35"/>
    </row>
    <row r="163" ht="13.5">
      <c r="C163" s="35"/>
    </row>
    <row r="164" ht="13.5">
      <c r="C164" s="35"/>
    </row>
    <row r="165" ht="13.5">
      <c r="C165" s="35"/>
    </row>
    <row r="166" ht="13.5">
      <c r="C166" s="35"/>
    </row>
    <row r="167" ht="13.5">
      <c r="C167" s="35"/>
    </row>
    <row r="168" ht="13.5">
      <c r="C168" s="35"/>
    </row>
    <row r="169" ht="13.5">
      <c r="C169" s="35"/>
    </row>
    <row r="170" ht="13.5">
      <c r="C170" s="35"/>
    </row>
    <row r="171" ht="13.5">
      <c r="C171" s="35"/>
    </row>
    <row r="172" ht="13.5">
      <c r="C172" s="35"/>
    </row>
    <row r="173" ht="13.5">
      <c r="C173" s="35"/>
    </row>
    <row r="174" ht="13.5">
      <c r="C174" s="35"/>
    </row>
    <row r="175" ht="13.5">
      <c r="C175" s="35"/>
    </row>
    <row r="176" ht="13.5">
      <c r="C176" s="35"/>
    </row>
    <row r="177" ht="13.5">
      <c r="C177" s="35"/>
    </row>
    <row r="178" ht="13.5">
      <c r="C178" s="35"/>
    </row>
    <row r="179" ht="13.5">
      <c r="C179" s="35"/>
    </row>
    <row r="180" ht="13.5">
      <c r="C180" s="35"/>
    </row>
    <row r="181" ht="13.5">
      <c r="C181" s="35"/>
    </row>
    <row r="182" ht="13.5">
      <c r="C182" s="35"/>
    </row>
    <row r="183" ht="13.5">
      <c r="C183" s="35"/>
    </row>
    <row r="184" ht="13.5">
      <c r="C184" s="35"/>
    </row>
    <row r="185" ht="13.5">
      <c r="C185" s="35"/>
    </row>
    <row r="186" ht="13.5">
      <c r="C186" s="35"/>
    </row>
    <row r="187" ht="13.5">
      <c r="C187" s="35"/>
    </row>
    <row r="188" ht="13.5">
      <c r="C188" s="35"/>
    </row>
    <row r="189" ht="13.5">
      <c r="C189" s="35"/>
    </row>
    <row r="190" ht="13.5">
      <c r="C190" s="35"/>
    </row>
    <row r="191" ht="13.5">
      <c r="C191" s="35"/>
    </row>
    <row r="192" ht="13.5">
      <c r="C192" s="35"/>
    </row>
    <row r="193" ht="13.5">
      <c r="C193" s="35"/>
    </row>
    <row r="194" ht="13.5">
      <c r="C194" s="35"/>
    </row>
    <row r="195" ht="13.5">
      <c r="C195" s="35"/>
    </row>
    <row r="196" ht="13.5">
      <c r="C196" s="35"/>
    </row>
    <row r="197" ht="13.5">
      <c r="C197" s="35"/>
    </row>
    <row r="198" ht="13.5">
      <c r="C198" s="35"/>
    </row>
    <row r="199" ht="13.5">
      <c r="C199" s="35"/>
    </row>
    <row r="200" ht="13.5">
      <c r="C200" s="35"/>
    </row>
    <row r="201" ht="13.5">
      <c r="C201" s="35"/>
    </row>
    <row r="202" ht="13.5">
      <c r="C202" s="35"/>
    </row>
    <row r="203" ht="13.5">
      <c r="C203" s="35"/>
    </row>
    <row r="204" ht="13.5">
      <c r="C204" s="35"/>
    </row>
    <row r="205" ht="13.5">
      <c r="C205" s="35"/>
    </row>
    <row r="206" ht="13.5">
      <c r="C206" s="35"/>
    </row>
    <row r="207" ht="13.5">
      <c r="C207" s="35"/>
    </row>
    <row r="208" ht="13.5">
      <c r="C208" s="35"/>
    </row>
    <row r="209" ht="13.5">
      <c r="C209" s="35"/>
    </row>
    <row r="210" ht="13.5">
      <c r="C210" s="35"/>
    </row>
    <row r="211" ht="13.5">
      <c r="C211" s="35"/>
    </row>
    <row r="212" ht="13.5">
      <c r="C212" s="35"/>
    </row>
    <row r="213" ht="13.5">
      <c r="C213" s="35"/>
    </row>
    <row r="214" ht="13.5">
      <c r="C214" s="35"/>
    </row>
    <row r="215" ht="13.5">
      <c r="C215" s="35"/>
    </row>
    <row r="216" ht="13.5">
      <c r="C216" s="35"/>
    </row>
    <row r="217" ht="13.5">
      <c r="C217" s="35"/>
    </row>
    <row r="218" ht="13.5">
      <c r="C218" s="35"/>
    </row>
    <row r="219" ht="13.5">
      <c r="C219" s="35"/>
    </row>
    <row r="220" ht="13.5">
      <c r="C220" s="35"/>
    </row>
    <row r="221" ht="13.5">
      <c r="C221" s="35"/>
    </row>
    <row r="222" ht="13.5">
      <c r="C222" s="35"/>
    </row>
    <row r="223" ht="13.5">
      <c r="C223" s="35"/>
    </row>
    <row r="224" ht="13.5">
      <c r="C224" s="35"/>
    </row>
    <row r="225" ht="13.5">
      <c r="C225" s="35"/>
    </row>
    <row r="226" ht="13.5">
      <c r="C226" s="35"/>
    </row>
    <row r="227" ht="13.5">
      <c r="C227" s="35"/>
    </row>
    <row r="228" ht="13.5">
      <c r="C228" s="35"/>
    </row>
    <row r="229" ht="13.5">
      <c r="C229" s="35"/>
    </row>
    <row r="230" ht="13.5">
      <c r="C230" s="35"/>
    </row>
    <row r="231" ht="13.5">
      <c r="C231" s="35"/>
    </row>
    <row r="232" ht="13.5">
      <c r="C232" s="35"/>
    </row>
    <row r="233" ht="13.5">
      <c r="C233" s="35"/>
    </row>
    <row r="234" ht="13.5">
      <c r="C234" s="35"/>
    </row>
    <row r="235" ht="13.5">
      <c r="C235" s="35"/>
    </row>
    <row r="236" ht="13.5">
      <c r="C236" s="35"/>
    </row>
    <row r="237" ht="13.5">
      <c r="C237" s="35"/>
    </row>
    <row r="238" ht="13.5">
      <c r="C238" s="35"/>
    </row>
    <row r="239" ht="13.5">
      <c r="C239" s="35"/>
    </row>
    <row r="240" ht="13.5">
      <c r="C240" s="35"/>
    </row>
    <row r="241" ht="13.5">
      <c r="C241" s="35"/>
    </row>
    <row r="242" ht="13.5">
      <c r="C242" s="35"/>
    </row>
    <row r="243" ht="13.5">
      <c r="C243" s="35"/>
    </row>
    <row r="244" ht="13.5">
      <c r="C244" s="35"/>
    </row>
    <row r="245" ht="13.5">
      <c r="C245" s="35"/>
    </row>
    <row r="246" ht="13.5">
      <c r="C246" s="35"/>
    </row>
    <row r="247" ht="13.5">
      <c r="C247" s="35"/>
    </row>
    <row r="248" ht="13.5">
      <c r="C248" s="35"/>
    </row>
    <row r="249" ht="13.5">
      <c r="C249" s="35"/>
    </row>
    <row r="250" ht="13.5">
      <c r="C250" s="35"/>
    </row>
    <row r="251" ht="13.5">
      <c r="C251" s="35"/>
    </row>
    <row r="252" ht="13.5">
      <c r="C252" s="35"/>
    </row>
    <row r="253" ht="13.5">
      <c r="C253" s="35"/>
    </row>
    <row r="254" ht="13.5">
      <c r="C254" s="35"/>
    </row>
  </sheetData>
  <mergeCells count="16">
    <mergeCell ref="H12:H13"/>
    <mergeCell ref="F1:K1"/>
    <mergeCell ref="H4:K4"/>
    <mergeCell ref="H6:K6"/>
    <mergeCell ref="A8:K8"/>
    <mergeCell ref="J12:J13"/>
    <mergeCell ref="A128:B128"/>
    <mergeCell ref="A9:K9"/>
    <mergeCell ref="H10:K10"/>
    <mergeCell ref="A11:A13"/>
    <mergeCell ref="B11:B13"/>
    <mergeCell ref="C11:G11"/>
    <mergeCell ref="H11:J11"/>
    <mergeCell ref="K11:K13"/>
    <mergeCell ref="C12:C13"/>
    <mergeCell ref="D12:G12"/>
  </mergeCells>
  <printOptions/>
  <pageMargins left="0.54" right="0.13" top="0.27" bottom="0.3" header="0.5" footer="0.32"/>
  <pageSetup horizontalDpi="600" verticalDpi="600" orientation="portrait" paperSize="9" scale="74" r:id="rId1"/>
  <rowBreaks count="4" manualBreakCount="4">
    <brk id="39" max="10" man="1"/>
    <brk id="74" max="10" man="1"/>
    <brk id="109" max="10" man="1"/>
    <brk id="128" max="1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90" zoomScaleSheetLayoutView="90" workbookViewId="0" topLeftCell="A1">
      <selection activeCell="B17" sqref="B17:B18"/>
    </sheetView>
  </sheetViews>
  <sheetFormatPr defaultColWidth="9.00390625" defaultRowHeight="12.75"/>
  <cols>
    <col min="1" max="1" width="32.25390625" style="169" customWidth="1"/>
    <col min="2" max="2" width="17.25390625" style="169" customWidth="1"/>
    <col min="3" max="3" width="23.625" style="169" customWidth="1"/>
    <col min="4" max="4" width="9.25390625" style="169" customWidth="1"/>
    <col min="5" max="16384" width="8.875" style="169" customWidth="1"/>
  </cols>
  <sheetData>
    <row r="1" spans="3:5" ht="13.5" customHeight="1">
      <c r="C1" s="5" t="s">
        <v>46</v>
      </c>
      <c r="E1" s="5"/>
    </row>
    <row r="2" spans="3:5" ht="13.5">
      <c r="C2" s="3" t="s">
        <v>144</v>
      </c>
      <c r="E2" s="3"/>
    </row>
    <row r="3" spans="3:5" ht="13.5">
      <c r="C3" s="5" t="s">
        <v>291</v>
      </c>
      <c r="E3" s="5"/>
    </row>
    <row r="4" spans="4:5" ht="13.5">
      <c r="D4" s="5"/>
      <c r="E4" s="5"/>
    </row>
    <row r="5" spans="1:7" ht="33.75" customHeight="1">
      <c r="A5" s="249" t="s">
        <v>294</v>
      </c>
      <c r="B5" s="249"/>
      <c r="C5" s="249"/>
      <c r="D5" s="249"/>
      <c r="F5" s="170"/>
      <c r="G5" s="170"/>
    </row>
    <row r="6" ht="14.25" thickBot="1"/>
    <row r="7" spans="1:4" ht="14.25" thickBot="1">
      <c r="A7" s="244" t="s">
        <v>194</v>
      </c>
      <c r="B7" s="246" t="s">
        <v>39</v>
      </c>
      <c r="C7" s="247"/>
      <c r="D7" s="248"/>
    </row>
    <row r="8" spans="1:4" ht="78" thickBot="1">
      <c r="A8" s="245"/>
      <c r="B8" s="174" t="s">
        <v>43</v>
      </c>
      <c r="C8" s="192" t="s">
        <v>41</v>
      </c>
      <c r="D8" s="188" t="s">
        <v>36</v>
      </c>
    </row>
    <row r="9" spans="1:4" ht="10.5" customHeight="1">
      <c r="A9" s="176" t="s">
        <v>30</v>
      </c>
      <c r="B9" s="182">
        <v>400</v>
      </c>
      <c r="C9" s="193"/>
      <c r="D9" s="189">
        <f>B9+C9</f>
        <v>400</v>
      </c>
    </row>
    <row r="10" spans="1:4" ht="13.5">
      <c r="A10" s="177" t="s">
        <v>31</v>
      </c>
      <c r="B10" s="183">
        <v>1000</v>
      </c>
      <c r="C10" s="184"/>
      <c r="D10" s="190">
        <f aca="true" t="shared" si="0" ref="D10:D18">B10+C10</f>
        <v>1000</v>
      </c>
    </row>
    <row r="11" spans="1:4" ht="13.5">
      <c r="A11" s="177" t="s">
        <v>32</v>
      </c>
      <c r="B11" s="183">
        <v>500</v>
      </c>
      <c r="C11" s="184"/>
      <c r="D11" s="190">
        <f t="shared" si="0"/>
        <v>500</v>
      </c>
    </row>
    <row r="12" spans="1:4" ht="13.5">
      <c r="A12" s="177" t="s">
        <v>33</v>
      </c>
      <c r="B12" s="183">
        <v>500</v>
      </c>
      <c r="C12" s="184"/>
      <c r="D12" s="190">
        <f t="shared" si="0"/>
        <v>500</v>
      </c>
    </row>
    <row r="13" spans="1:4" ht="13.5">
      <c r="A13" s="178" t="s">
        <v>40</v>
      </c>
      <c r="B13" s="184"/>
      <c r="C13" s="185">
        <v>200</v>
      </c>
      <c r="D13" s="190">
        <f t="shared" si="0"/>
        <v>200</v>
      </c>
    </row>
    <row r="14" spans="1:4" ht="13.5">
      <c r="A14" s="178" t="s">
        <v>34</v>
      </c>
      <c r="B14" s="185">
        <v>750</v>
      </c>
      <c r="C14" s="184"/>
      <c r="D14" s="190">
        <f t="shared" si="0"/>
        <v>750</v>
      </c>
    </row>
    <row r="15" spans="1:4" ht="15" customHeight="1">
      <c r="A15" s="179" t="s">
        <v>42</v>
      </c>
      <c r="B15" s="186">
        <f>380+450</f>
        <v>830</v>
      </c>
      <c r="C15" s="184"/>
      <c r="D15" s="190">
        <f t="shared" si="0"/>
        <v>830</v>
      </c>
    </row>
    <row r="16" spans="1:4" ht="15" customHeight="1">
      <c r="A16" s="179" t="s">
        <v>35</v>
      </c>
      <c r="B16" s="186">
        <v>300</v>
      </c>
      <c r="C16" s="184"/>
      <c r="D16" s="190">
        <f t="shared" si="0"/>
        <v>300</v>
      </c>
    </row>
    <row r="17" spans="1:4" ht="15" customHeight="1" thickBot="1">
      <c r="A17" s="180" t="s">
        <v>44</v>
      </c>
      <c r="B17" s="187">
        <v>760</v>
      </c>
      <c r="C17" s="194"/>
      <c r="D17" s="191">
        <f t="shared" si="0"/>
        <v>760</v>
      </c>
    </row>
    <row r="18" spans="1:4" ht="15" customHeight="1" thickBot="1">
      <c r="A18" s="173" t="s">
        <v>45</v>
      </c>
      <c r="B18" s="175">
        <f>SUM(B9:B17)</f>
        <v>5040</v>
      </c>
      <c r="C18" s="175">
        <f>SUM(C9:C17)</f>
        <v>200</v>
      </c>
      <c r="D18" s="181">
        <f t="shared" si="0"/>
        <v>5240</v>
      </c>
    </row>
  </sheetData>
  <mergeCells count="3">
    <mergeCell ref="A7:A8"/>
    <mergeCell ref="B7:D7"/>
    <mergeCell ref="A5:D5"/>
  </mergeCells>
  <printOptions/>
  <pageMargins left="0.8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yacenko</cp:lastModifiedBy>
  <cp:lastPrinted>2004-10-06T13:59:47Z</cp:lastPrinted>
  <dcterms:created xsi:type="dcterms:W3CDTF">2003-12-10T21:35:36Z</dcterms:created>
  <dcterms:modified xsi:type="dcterms:W3CDTF">2004-10-06T14:00:14Z</dcterms:modified>
  <cp:category/>
  <cp:version/>
  <cp:contentType/>
  <cp:contentStatus/>
</cp:coreProperties>
</file>