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activeTab="6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 нов" sheetId="7" r:id="rId7"/>
  </sheets>
  <externalReferences>
    <externalReference r:id="rId10"/>
    <externalReference r:id="rId11"/>
  </externalReferences>
  <definedNames>
    <definedName name="_xlnm._FilterDatabase" localSheetId="2" hidden="1">'№3'!$A$14:$BG$240</definedName>
    <definedName name="_xlnm._FilterDatabase" localSheetId="4" hidden="1">'№5'!$J$11:$J$57</definedName>
    <definedName name="_xlnm._FilterDatabase" localSheetId="5" hidden="1">'№6'!$S$12:$S$59</definedName>
    <definedName name="Z_1D767D7F_3A7F_4027_AABF_9FB18720D692_.wvu.Rows" localSheetId="1" hidden="1">'№2'!$15:$16,'№2'!$63:$63,'№2'!$86:$86,'№2'!#REF!,'№2'!$99:$101,'№2'!$108:$108,'№2'!$115:$115,'№2'!#REF!,'№2'!$120:$120,'№2'!$124:$124,'№2'!$130:$130,'№2'!$138:$138,'№2'!$146:$146,'№2'!$150:$150,'№2'!#REF!,'№2'!$166:$166</definedName>
    <definedName name="Z_320DDB09_FBA8_4E1A_90A7_41493CE887A1_.wvu.Cols" localSheetId="1" hidden="1">'№2'!$G:$G,'№2'!$J:$J</definedName>
    <definedName name="Z_320DDB09_FBA8_4E1A_90A7_41493CE887A1_.wvu.Cols" localSheetId="2" hidden="1">'№3'!$G:$G,'№3'!$J:$J</definedName>
    <definedName name="Z_320DDB09_FBA8_4E1A_90A7_41493CE887A1_.wvu.FilterData" localSheetId="2" hidden="1">'№3'!$A$15:$A$240</definedName>
    <definedName name="Z_320DDB09_FBA8_4E1A_90A7_41493CE887A1_.wvu.PrintArea" localSheetId="1" hidden="1">'№2'!$A$1:$K$164</definedName>
    <definedName name="Z_320DDB09_FBA8_4E1A_90A7_41493CE887A1_.wvu.PrintArea" localSheetId="2" hidden="1">'№3'!$A$1:$K$238</definedName>
    <definedName name="Z_320DDB09_FBA8_4E1A_90A7_41493CE887A1_.wvu.Rows" localSheetId="1" hidden="1">'№2'!$15:$16,'№2'!$63:$63,'№2'!$86:$86,'№2'!#REF!,'№2'!$108:$108,'№2'!$115:$115,'№2'!#REF!,'№2'!$120:$120,'№2'!$124:$124,'№2'!$130:$130,'№2'!$138:$138,'№2'!$146:$146,'№2'!$150:$150,'№2'!#REF!,'№2'!$166:$166</definedName>
    <definedName name="Z_320DDB09_FBA8_4E1A_90A7_41493CE887A1_.wvu.Rows" localSheetId="2" hidden="1">'№3'!$1:$3</definedName>
    <definedName name="Z_55FBEA9C_3FBC_4C2C_9CDD_81DB4A50B154_.wvu.Cols" localSheetId="1" hidden="1">'№2'!$G:$G,'№2'!$J:$J</definedName>
    <definedName name="Z_55FBEA9C_3FBC_4C2C_9CDD_81DB4A50B154_.wvu.Cols" localSheetId="2" hidden="1">'№3'!$G:$G,'№3'!$J:$J</definedName>
    <definedName name="Z_55FBEA9C_3FBC_4C2C_9CDD_81DB4A50B154_.wvu.FilterData" localSheetId="2" hidden="1">'№3'!$A$14:$BG$240</definedName>
    <definedName name="Z_55FBEA9C_3FBC_4C2C_9CDD_81DB4A50B154_.wvu.PrintArea" localSheetId="1" hidden="1">'№2'!$A$1:$K$168</definedName>
    <definedName name="Z_55FBEA9C_3FBC_4C2C_9CDD_81DB4A50B154_.wvu.PrintArea" localSheetId="2" hidden="1">'№3'!$A$1:$K$251</definedName>
    <definedName name="Z_55FBEA9C_3FBC_4C2C_9CDD_81DB4A50B154_.wvu.Rows" localSheetId="1" hidden="1">'№2'!$15:$16,'№2'!$41:$42,'№2'!$59:$63,'№2'!$72:$75,'№2'!$85:$86,'№2'!$89:$90,'№2'!#REF!,'№2'!$108:$108,'№2'!$115:$115,'№2'!#REF!,'№2'!$120:$120,'№2'!$124:$124,'№2'!$130:$130,'№2'!$138:$138,'№2'!$146:$146,'№2'!$150:$150,'№2'!#REF!,'№2'!$166:$166</definedName>
    <definedName name="Z_55FBEA9C_3FBC_4C2C_9CDD_81DB4A50B154_.wvu.Rows" localSheetId="2" hidden="1">'№3'!$1:$3,'№3'!$17:$17,'№3'!$29:$35,'№3'!$38:$43,'№3'!$56:$56,'№3'!$58:$58,'№3'!$63:$63,'№3'!$68:$68,'№3'!$70:$70,'№3'!$72:$75,'№3'!$89:$89,'№3'!$94:$96,'№3'!$112:$112,'№3'!$113:$119,'№3'!$128:$128,'№3'!$130:$137,'№3'!$143:$143,'№3'!$152:$191,'№3'!#REF!</definedName>
    <definedName name="Z_8182C82F_4179_437B_82A5_A0F1DB59C261_.wvu.FilterData" localSheetId="2" hidden="1">'№3'!$A$15:$A$240</definedName>
    <definedName name="Z_8523E7D0_7475_4DDE_A929_039F9E430B32_.wvu.Cols" localSheetId="1" hidden="1">'№2'!$J:$J</definedName>
    <definedName name="Z_8523E7D0_7475_4DDE_A929_039F9E430B32_.wvu.Cols" localSheetId="2" hidden="1">'№3'!$J:$J</definedName>
    <definedName name="Z_8523E7D0_7475_4DDE_A929_039F9E430B32_.wvu.Cols" localSheetId="5" hidden="1">'№6'!$M:$M</definedName>
    <definedName name="Z_8523E7D0_7475_4DDE_A929_039F9E430B32_.wvu.FilterData" localSheetId="2" hidden="1">'№3'!$A$14:$BG$240</definedName>
    <definedName name="Z_8523E7D0_7475_4DDE_A929_039F9E430B32_.wvu.FilterData" localSheetId="4" hidden="1">'№5'!$J$11:$J$57</definedName>
    <definedName name="Z_8523E7D0_7475_4DDE_A929_039F9E430B32_.wvu.FilterData" localSheetId="5" hidden="1">'№6'!$S$12:$S$59</definedName>
    <definedName name="Z_8523E7D0_7475_4DDE_A929_039F9E430B32_.wvu.PrintArea" localSheetId="0" hidden="1">'№1'!$A$1:$F$86</definedName>
    <definedName name="Z_8523E7D0_7475_4DDE_A929_039F9E430B32_.wvu.PrintArea" localSheetId="1" hidden="1">'№2'!$A$1:$K$164</definedName>
    <definedName name="Z_8523E7D0_7475_4DDE_A929_039F9E430B32_.wvu.PrintArea" localSheetId="2" hidden="1">'№3'!$A$1:$K$238</definedName>
    <definedName name="Z_8523E7D0_7475_4DDE_A929_039F9E430B32_.wvu.PrintArea" localSheetId="4" hidden="1">'№5'!$A$1:$J$57</definedName>
    <definedName name="Z_8523E7D0_7475_4DDE_A929_039F9E430B32_.wvu.PrintArea" localSheetId="5" hidden="1">'№6'!$A$1:$S$59</definedName>
    <definedName name="Z_8523E7D0_7475_4DDE_A929_039F9E430B32_.wvu.PrintArea" localSheetId="6" hidden="1">'№7 нов'!$A$1:$D$30</definedName>
    <definedName name="Z_8523E7D0_7475_4DDE_A929_039F9E430B32_.wvu.Rows" localSheetId="0" hidden="1">'№1'!$5:$5,'№1'!$9:$9,'№1'!$24:$24,'№1'!$36:$36,'№1'!$39:$40,'№1'!$55:$55,'№1'!$73:$73</definedName>
    <definedName name="Z_8523E7D0_7475_4DDE_A929_039F9E430B32_.wvu.Rows" localSheetId="1" hidden="1">'№2'!$15:$16,'№2'!$22:$22,'№2'!$31:$31,'№2'!$33:$33,'№2'!$35:$35,'№2'!$39:$39,'№2'!$41:$42,'№2'!$46:$46,'№2'!$57:$57,'№2'!$64:$66,'№2'!$85:$88,'№2'!$95:$95,'№2'!$99:$99,'№2'!$102:$103,'№2'!$105:$105,'№2'!$107:$109,'№2'!$114:$115,'№2'!$120:$124,'№2'!$131:$132,'№2'!$134:$134,'№2'!$137:$146,'№2'!$150:$150,'№2'!$153:$153,'№2'!$163:$163,'№2'!$166:$166</definedName>
    <definedName name="Z_8523E7D0_7475_4DDE_A929_039F9E430B32_.wvu.Rows" localSheetId="2" hidden="1">'№3'!$1:$3,'№3'!$17:$17,'№3'!$30:$37,'№3'!$39:$43,'№3'!$48:$51,'№3'!$58:$58,'№3'!$63:$63,'№3'!$72:$75,'№3'!$84:$84,'№3'!$88:$89,'№3'!$94:$96,'№3'!$99:$100,'№3'!$104:$104,'№3'!$113:$119,'№3'!$131:$132,'№3'!$137:$139,'№3'!$153:$154,'№3'!$157:$157,'№3'!$160:$162,'№3'!$164:$164,'№3'!$173:$174,'№3'!$177:$177,'№3'!$179:$179,'№3'!$181:$191,'№3'!$197:$198,'№3'!$200:$202,'№3'!$205:$205,'№3'!$207:$207,'№3'!$209:$210,'№3'!$217:$219,'№3'!$225:$227,'№3'!$229:$229</definedName>
    <definedName name="Z_A47C3E8F_8E3D_438E_864D_FF8A86EB29FB_.wvu.PrintArea" localSheetId="1" hidden="1">'№2'!$A$1:$M$169</definedName>
    <definedName name="Z_AD77E662_1A59_48FE_B650_EFF948C00338_.wvu.FilterData" localSheetId="2" hidden="1">'№3'!$A$15:$A$240</definedName>
    <definedName name="Z_BB919BB1_78FC_411F_B89B_EE52A9A99CCD_.wvu.Cols" localSheetId="1" hidden="1">'№2'!$G:$G,'№2'!$J:$J</definedName>
    <definedName name="Z_BB919BB1_78FC_411F_B89B_EE52A9A99CCD_.wvu.Cols" localSheetId="2" hidden="1">'№3'!$G:$G,'№3'!$J:$J</definedName>
    <definedName name="Z_BB919BB1_78FC_411F_B89B_EE52A9A99CCD_.wvu.FilterData" localSheetId="2" hidden="1">'№3'!$A$14:$BG$240</definedName>
    <definedName name="Z_BB919BB1_78FC_411F_B89B_EE52A9A99CCD_.wvu.PrintArea" localSheetId="1" hidden="1">'№2'!$A$1:$K$168</definedName>
    <definedName name="Z_BB919BB1_78FC_411F_B89B_EE52A9A99CCD_.wvu.PrintArea" localSheetId="2" hidden="1">'№3'!$A$1:$K$238</definedName>
    <definedName name="Z_BB919BB1_78FC_411F_B89B_EE52A9A99CCD_.wvu.Rows" localSheetId="1" hidden="1">'№2'!$15:$16,'№2'!$41:$42,'№2'!$59:$63,'№2'!$65:$66,'№2'!$72:$75,'№2'!$85:$86,'№2'!$89:$90,'№2'!#REF!,'№2'!$99:$106,'№2'!$108:$108,'№2'!$114:$115,'№2'!$117:$117,'№2'!$120:$124,'№2'!$130:$160,'№2'!#REF!,'№2'!$166:$166</definedName>
    <definedName name="Z_BB919BB1_78FC_411F_B89B_EE52A9A99CCD_.wvu.Rows" localSheetId="2" hidden="1">'№3'!$1:$3,'№3'!$17:$17,'№3'!$21:$43,'№3'!$56:$56,'№3'!$58:$60,'№3'!$63:$63,'№3'!$68:$68,'№3'!$70:$70,'№3'!$72:$75,'№3'!$89:$89,'№3'!$94:$96,'№3'!$112:$112,'№3'!$113:$119,'№3'!$128:$128,'№3'!$130:$137,'№3'!$143:$143,'№3'!$152:$191,'№3'!#REF!,'№3'!$205:$205,'№3'!$207:$207,'№3'!$209:$210,'№3'!$216:$216,'№3'!$221:$235,'№3'!#REF!</definedName>
    <definedName name="Z_D733478A_EE58_449F_AC74_766E540A8B9D_.wvu.FilterData" localSheetId="2" hidden="1">'№3'!$A$15:$A$240</definedName>
    <definedName name="_xlnm.Print_Titles" localSheetId="3">'№4'!$A:$A</definedName>
    <definedName name="_xlnm.Print_Area" localSheetId="0">'№1'!$A$1:$F$86</definedName>
    <definedName name="_xlnm.Print_Area" localSheetId="1">'№2'!$A$1:$K$164</definedName>
    <definedName name="_xlnm.Print_Area" localSheetId="2">'№3'!$A$1:$K$238</definedName>
    <definedName name="_xlnm.Print_Area" localSheetId="3">'№4'!$A$1:$AK$57</definedName>
    <definedName name="_xlnm.Print_Area" localSheetId="4">'№5'!$A$1:$J$57</definedName>
    <definedName name="_xlnm.Print_Area" localSheetId="5">'№6'!$A$1:$S$59</definedName>
    <definedName name="_xlnm.Print_Area" localSheetId="6">'№7 нов'!$A$1:$D$30</definedName>
  </definedNames>
  <calcPr fullCalcOnLoad="1"/>
</workbook>
</file>

<file path=xl/sharedStrings.xml><?xml version="1.0" encoding="utf-8"?>
<sst xmlns="http://schemas.openxmlformats.org/spreadsheetml/2006/main" count="1157" uniqueCount="645">
  <si>
    <t>Прочие культурно-образовательные учреждения и мероприятия</t>
  </si>
  <si>
    <t xml:space="preserve">110201   110202   110204
</t>
  </si>
  <si>
    <t>Учреждения культуры</t>
  </si>
  <si>
    <t xml:space="preserve">Строительство новой взлетно-посадочной полосы, компенсация затрат при выведении земель из сельскохозяйственных угодий </t>
  </si>
  <si>
    <t>Обработка информации по начислению и выплате пособий и компенсаций</t>
  </si>
  <si>
    <t>100105</t>
  </si>
  <si>
    <t>в т.ч. расходы на содержание объектов социальной сферы предприятий, которые передаются в коммунальную собственность</t>
  </si>
  <si>
    <t>Культура и искусство, в том числе</t>
  </si>
  <si>
    <t>110102</t>
  </si>
  <si>
    <t>Театры</t>
  </si>
  <si>
    <t>110103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</si>
  <si>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</si>
  <si>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Филармонии, музыкальные коллективы и ансамбли  и прочие мероприятия и учреждения по искусству</t>
  </si>
  <si>
    <t>150107</t>
  </si>
  <si>
    <t>150118</t>
  </si>
  <si>
    <t xml:space="preserve">Жилищное строительство и приобретение жилья для отдельных категорий населения  </t>
  </si>
  <si>
    <t>150119</t>
  </si>
  <si>
    <t>Проведение неотложных восстановительных работ, строительство и реконструкция в медицинских учреждениях</t>
  </si>
  <si>
    <t>150120</t>
  </si>
  <si>
    <t>Строительство метрополитена</t>
  </si>
  <si>
    <t>150122</t>
  </si>
  <si>
    <t>Инвестиционные проекты</t>
  </si>
  <si>
    <t>170603</t>
  </si>
  <si>
    <t>Расходы на проведение работ, связанных со строительством, реконструкцией, ремонтом и  содержанием автомобильных дорог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</si>
  <si>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</si>
  <si>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</si>
  <si>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Предупреждение и ликвидация чрезвычайных ситуаций и последствий стихийного бедствия</t>
  </si>
  <si>
    <t>Проведение выборов  депутатов местных советов</t>
  </si>
  <si>
    <t>250205</t>
  </si>
  <si>
    <t>Проведение референдумов</t>
  </si>
  <si>
    <t>250309</t>
  </si>
  <si>
    <t>Средства, передаваемые по взаимным расчетам между местными бюджетами</t>
  </si>
  <si>
    <t>250403</t>
  </si>
  <si>
    <t>Расходы на покрытие прочих задолженостей возникших в предыдущие годы</t>
  </si>
  <si>
    <t>250316</t>
  </si>
  <si>
    <t>Дополнительная дотация из государственного бюджета местным бюджетам, которая связана с выполнением годовых расчетных объемов доходов, определенных приложением 5 к Закону Украины «О Государственном бюджете Украины на 2004 год» , и расчетных объемов акцизно</t>
  </si>
  <si>
    <t>250318</t>
  </si>
  <si>
    <t>100202</t>
  </si>
  <si>
    <t>Расходы за счет субвенции из государственного бюджета местным бюджетам для стимулирования развития регионов, в т.ч. депрессивных территорий</t>
  </si>
  <si>
    <t>Водопроводно-канализационное хозяйство</t>
  </si>
  <si>
    <t>250344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</si>
  <si>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</si>
  <si>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250328</t>
  </si>
  <si>
    <t>250329</t>
  </si>
  <si>
    <t>250330</t>
  </si>
  <si>
    <t>Программа "Обеспечение сохранности архивных фондов Донецкой области на 2000-2005 годы"</t>
  </si>
  <si>
    <t>на приобретение транспортных средств для многодетных семей и детских домов семейного типа</t>
  </si>
  <si>
    <t>Управление по вопросам чрезвычайных ситуаций и по делам защиты населения от последствий Чернобыльской катастрофы облгосадминистрации</t>
  </si>
  <si>
    <t>Социально-экономическое развитие регионов, мероприятия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 и на выполнение инвестиционных проектов, в том числе на капитальный ремонт  сельских школ, на развитие и реконструкцию централизованных систем водоснабжения и водоотведения, на внедрение мероприятий, направленных на уменьшение затрат на производство, передачу и потребление тепловой энергии</t>
  </si>
  <si>
    <t>Расходы на проведение работ, связанных со строительством, реконструкцией, ремонтом автомобильных дорог коммунальной собственности</t>
  </si>
  <si>
    <t>Мероприятия по передаче  жилого фонда  и объектов социально-культурной сферы  Министерства обороны Украины в коммунальную собственность</t>
  </si>
  <si>
    <t>250380</t>
  </si>
  <si>
    <t>Субвенция из местного бюджета государственному бюджету на выполнение программ социально-єкономического и культурного развития региона</t>
  </si>
  <si>
    <t>программа " Отдых и оздоровление детей на период до 2008 года"</t>
  </si>
  <si>
    <t>Высшие учреждения образования III и IV уровней аккредитации</t>
  </si>
  <si>
    <t>210105</t>
  </si>
  <si>
    <t>Расходы на предупреждение и ликвидацию чрезвычайных ситуаций и последствий стихийного бедствия</t>
  </si>
  <si>
    <t>Пополнение собственных оборотных средств</t>
  </si>
  <si>
    <t>100201</t>
  </si>
  <si>
    <t>Тепловые сети</t>
  </si>
  <si>
    <t>в т.ч. расходы на обустройство учреждений, предоставляющих социальные услуги детям и молодежи</t>
  </si>
  <si>
    <t>091108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</si>
  <si>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</si>
  <si>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Мероприятия по организации  отдыха и оздоровления детей, кроме мероприятий по оздоровлению детей, которые выполняются за счет средств на оздоровление граждан, пострадавших вследствие Чернобыльской катастрофы</t>
  </si>
  <si>
    <t xml:space="preserve">Субвенции из областного бюджета бюджетам городов и районов </t>
  </si>
  <si>
    <t>на содержание приютов для несовершеннолетних</t>
  </si>
  <si>
    <t xml:space="preserve">на предупреждение и реагирование на чрезвычайные ситуации техногенного и природного характера </t>
  </si>
  <si>
    <t>Итого</t>
  </si>
  <si>
    <t>Областной</t>
  </si>
  <si>
    <t>090212</t>
  </si>
  <si>
    <t>Льготы на медицинское обслуживание гражданам, пострадавшим вследствие Чернобыльской катастрофы</t>
  </si>
  <si>
    <t>090213</t>
  </si>
  <si>
    <t>в т.ч. программы на социальную защиту инвалидов</t>
  </si>
  <si>
    <t>070701</t>
  </si>
  <si>
    <t>070807</t>
  </si>
  <si>
    <t>Прочие образовательные программы, в том числе</t>
  </si>
  <si>
    <t>Прочие культурно-образовательнные учреждения и мероприятия</t>
  </si>
  <si>
    <t>Образование (высшие учреждения образования І-ІІ уровней аккредитации; прочие учреждения и мероприятия последипломного образования) , в т.ч.</t>
  </si>
  <si>
    <t>Раздел "Образование" Программы экономического и социального развития  Донецкой области на 2007 год</t>
  </si>
  <si>
    <t>081002</t>
  </si>
  <si>
    <t>реш от 31.08</t>
  </si>
  <si>
    <t>должно бить</t>
  </si>
  <si>
    <t>на приобретение медицинского автотранспорта службе скорой помощи в районах и малых шахтерских городах</t>
  </si>
  <si>
    <t>на приобретение медицинского автотранспорта службе скорой помощи для районов</t>
  </si>
  <si>
    <t>Здравоохранение (содержание лечебно-профилактических учреждений, проведение мероприятий и выполнение программ), в т.ч.</t>
  </si>
  <si>
    <t>Фод</t>
  </si>
  <si>
    <t>специальный фонд</t>
  </si>
  <si>
    <t>Расходы за счет субвенции из государственного бюджета на проведение эксперимента по внедрению модели оказания специализированной медицинской помощи населению с целью предупреждения выявления заболеваний на ранних стадиях</t>
  </si>
  <si>
    <t>Расходы за счет субвенции  из государственного бюджета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</si>
  <si>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 xml:space="preserve">Расходы за счет субвенции 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 </t>
  </si>
  <si>
    <t>Расходы за счет субвенции  из государственного бюджета на проведение эксперимента по внедрению модели оказания специализированной медицинской помощи населению с целью предупреждения выявления заболеваний на ранних стадиях</t>
  </si>
  <si>
    <t xml:space="preserve">от                                № </t>
  </si>
  <si>
    <t>Доходы областного бюджета на 2007 год</t>
  </si>
  <si>
    <t>Дотация выравнивания из государственного бюджета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</si>
  <si>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</si>
  <si>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</si>
  <si>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</si>
  <si>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социально - экономическое развитие</t>
  </si>
  <si>
    <t>41032800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</si>
  <si>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</si>
  <si>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41034300</t>
  </si>
  <si>
    <t>41036000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</si>
  <si>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</si>
  <si>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41036200</t>
  </si>
  <si>
    <t>Субвенция из государственного бюджета местным бюджетам на финансирование в 2007 году Программ-победителей Всеукраинского конкурса  проектов и программ развития местного самоуправления 2006 года</t>
  </si>
  <si>
    <t>41037100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</si>
  <si>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</si>
  <si>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</si>
  <si>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"Общегосударственная программа реформирования и развития жилищно-коммунального хозяйства"</t>
  </si>
  <si>
    <t>Общегосударственная программа "Капитальный ремонт и модернизация лифтов жилищного фонда"</t>
  </si>
  <si>
    <t>Общегосударственная программа "Ремонт и реконструкция тепловых сетей и котельных"</t>
  </si>
  <si>
    <t xml:space="preserve">Объем средств субвенций, передаваемых областному бюджету  бюджетами городов областного значения и районными бюджетами на выполнение государственных, региональных программ и совместных мероприятий </t>
  </si>
  <si>
    <t>государственные, региональные программы и централизованные мероприятия</t>
  </si>
  <si>
    <t>Общегосударственная программа "Мероприятия по реализации комплексной реконструкции кварталов (микрорайонов) устаревшего жилищного фонда"</t>
  </si>
  <si>
    <t>Общегосударственная программа "Ликвидация последствий подтопления территорий в городах и поселках Украины"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</si>
  <si>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</si>
  <si>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</si>
  <si>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41037900</t>
  </si>
  <si>
    <t>250364</t>
  </si>
  <si>
    <t>250360</t>
  </si>
  <si>
    <t>250378</t>
  </si>
  <si>
    <t>Книгоиздание</t>
  </si>
  <si>
    <t>Управление информации и связей с общественностью</t>
  </si>
  <si>
    <t>41033800</t>
  </si>
  <si>
    <t>41032300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</si>
  <si>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строительства газопроводов и газификацию населенных пунктов    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</si>
  <si>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виплатам, передусмотренным статьей 57 Закона Украины "Об образовании" педагогическим, научно - педагогическим и другим категориям работников учебных заведений"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</si>
  <si>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</si>
  <si>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Приложение 5</t>
  </si>
  <si>
    <t xml:space="preserve"> 240602  240603  240604 </t>
  </si>
  <si>
    <t>Раздел "Охрана окружающей природной среды" Программы экономического и социального развития Донецкой области на 2007 год</t>
  </si>
  <si>
    <t>Расходы областного бюджета на 2007 год</t>
  </si>
  <si>
    <t>Образование (учреждения образования, программы и мероприятия в сфере образования), в том числе: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</si>
  <si>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</si>
  <si>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>Реализация Программы информатизации Донецкой области на 2005-2007 годы</t>
  </si>
  <si>
    <t>Расчеты за проектно-сметную документацию на строительство новой взлетно-посадочной полосы, продолжение реконструкции действующей взлетно-посадочной полосы и техническое переоснащение аэропорта</t>
  </si>
  <si>
    <t>Региональные программы и централизованные мероприятия</t>
  </si>
  <si>
    <t>Социальные программы и мероприятия государственных органов по делам молодежи</t>
  </si>
  <si>
    <t>110502</t>
  </si>
  <si>
    <t>Другие культурно-образовательные учреждения и мероприятия</t>
  </si>
  <si>
    <t>150101</t>
  </si>
  <si>
    <t>прочие мероприятия в сфере электротранспорта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</si>
  <si>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</si>
  <si>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</si>
  <si>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120201</t>
  </si>
  <si>
    <t>Высшие учреждения образования І-ІІ уровней аккредитации</t>
  </si>
  <si>
    <t>080400</t>
  </si>
  <si>
    <t>Облгосадминистрация</t>
  </si>
  <si>
    <t>180109</t>
  </si>
  <si>
    <t>250404</t>
  </si>
  <si>
    <t>090417</t>
  </si>
  <si>
    <t>Расходы на захоронение участников бонвых действий</t>
  </si>
  <si>
    <t>250325</t>
  </si>
  <si>
    <t>Субвенция из областного бюджета на содержание приюта для несовершеннолетних</t>
  </si>
  <si>
    <t xml:space="preserve">  Специальный фонд</t>
  </si>
  <si>
    <t>14060900</t>
  </si>
  <si>
    <t>Плата за государственную регистрацию, кроме платы за регистрацию субъектов предпринимательской деятельности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</si>
  <si>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</si>
  <si>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</si>
  <si>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24060800</t>
  </si>
  <si>
    <t>Поступления от сбора за проведение гастрольных мероприятий</t>
  </si>
  <si>
    <t>41030600</t>
  </si>
  <si>
    <t>41030800</t>
  </si>
  <si>
    <t>41030900</t>
  </si>
  <si>
    <t>41031000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</si>
  <si>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регионовв том числе:</t>
  </si>
  <si>
    <t>программа "Предупреждение и реагирование на чрезвычайные ситуации техногенного и природного характера"</t>
  </si>
  <si>
    <t>программа "Обеспечение сохранности архивных фондов Донецкой области на 2000-2005 годы"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</si>
  <si>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 в том числе:</t>
  </si>
  <si>
    <t>программа "Информатизация Донецкой области на 2005-2007 годы"</t>
  </si>
  <si>
    <t>Наименование административно-территориальных единиц</t>
  </si>
  <si>
    <t>проаграмма "Правосудие 2004-2007"</t>
  </si>
  <si>
    <t>Кировское</t>
  </si>
  <si>
    <t>программа "Правосудие 2004-2007"</t>
  </si>
  <si>
    <t>Расходы на захоронение участников боевых действий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</si>
  <si>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</si>
  <si>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>программа  "Защита прав и свобод граждан"</t>
  </si>
  <si>
    <t>программа  "Воин-патриот"</t>
  </si>
  <si>
    <t xml:space="preserve">Специализированные поликлиники  (врачебно-физкультурный диспансер) </t>
  </si>
  <si>
    <t>в том числе:</t>
  </si>
  <si>
    <t>Филармонии, музыкальные коллективы и ансамбли  и прочие мероприятия и учреждения искусства</t>
  </si>
  <si>
    <t>Расходы на финансирование объектов и проектов в рамках общегосударственных программ на условиях софинансирования</t>
  </si>
  <si>
    <t>Расходы за счет субвенции из государственного бюджета на обеспечение общеобразовательных  учебных заведений современными техническими средствами  обучения по естественно-математическим  и технологическим дисциплинам</t>
  </si>
  <si>
    <t>Субвенция из государственного бюджета местным бюджетам на проведение выборов депутатов ВР АРК, местных советов и сельских, поселковых, городских голов</t>
  </si>
  <si>
    <t>Расходы за счет  субвенции из государственного бюджета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</si>
  <si>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41021000</t>
  </si>
  <si>
    <t>Выполнение мероприятий п.5.1 "Обеспечение законности и правопорядка" Программы экономического и социального развития Донецкой области на 2007 год</t>
  </si>
  <si>
    <t>Расходы за счет субвенции из государственного бюджета для обеспечения специальным оборудованием учебных заведений для детей, которые требуют коррекции физического и (или) умственного развития</t>
  </si>
  <si>
    <t>Расходы за счет субвенции из государственного бюджета на приобретение школьных автобусов для перевозки детей, которые проживают в сельской местности</t>
  </si>
  <si>
    <t xml:space="preserve">Расходы за счет субвенции из государственного бюджета на содержание детей-сирот и детей, оставшихся без попечения родителей  в детских домах семейного типа и приемных семьях  </t>
  </si>
  <si>
    <t>программа "Общественная стабильность и экономическая безопасность - 2005 год"</t>
  </si>
  <si>
    <t>программа "Правопорядок на 2004-2007 годы"</t>
  </si>
  <si>
    <t xml:space="preserve">Коммунальное предприятие «Автотранспортное предприятие» </t>
  </si>
  <si>
    <t>Раздел "Охрана окружающей природной среды" Программы экономического и социального развития Донецкой области на 2005 год</t>
  </si>
  <si>
    <t>180410</t>
  </si>
  <si>
    <t>Прочие мероприятия, связанные с экономической деятельностью</t>
  </si>
  <si>
    <t>Расходы на льготное медицинское обеспечение, обслуживание и оздоровление граждан, пострадавших вследствие аварии на ЧАЭС</t>
  </si>
  <si>
    <t>Расходы за счет субвенции из госбюджета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</si>
  <si>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</si>
  <si>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</si>
  <si>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 xml:space="preserve">от </t>
  </si>
  <si>
    <t>Управление внешних отношений и внешнеэкономической деятельности</t>
  </si>
  <si>
    <t>130000</t>
  </si>
  <si>
    <t>110201</t>
  </si>
  <si>
    <t>110300</t>
  </si>
  <si>
    <t>120300</t>
  </si>
  <si>
    <t>070601</t>
  </si>
  <si>
    <t>180404</t>
  </si>
  <si>
    <t>170703</t>
  </si>
  <si>
    <t>230000</t>
  </si>
  <si>
    <t>250301</t>
  </si>
  <si>
    <t>250306</t>
  </si>
  <si>
    <t>091301</t>
  </si>
  <si>
    <t>Выплаты, определенные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</si>
  <si>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070809</t>
  </si>
  <si>
    <t>Отдел по вопросам туризма и курортов</t>
  </si>
  <si>
    <t>210000</t>
  </si>
  <si>
    <t>150115</t>
  </si>
  <si>
    <t>150121</t>
  </si>
  <si>
    <t>Главное управление сельского хозяйства и продовольствия облгосадминистрации</t>
  </si>
  <si>
    <t>Главное финансовое управление облгосадминистрации</t>
  </si>
  <si>
    <t>Государственный архив области облгосадминистрации</t>
  </si>
  <si>
    <t>Мероприятия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</t>
  </si>
  <si>
    <t>Завершение проектов газификации сельских населенных пунктов с высоким уровнем готовности</t>
  </si>
  <si>
    <t>Другие программы социальной защиты несовешеннолетних</t>
  </si>
  <si>
    <t>090802</t>
  </si>
  <si>
    <t>180107</t>
  </si>
  <si>
    <t>Финансирование энергосберегающих мероприятий</t>
  </si>
  <si>
    <t>200700</t>
  </si>
  <si>
    <t>Прочие природоохранные мероприятия</t>
  </si>
  <si>
    <t>Приложение 2</t>
  </si>
  <si>
    <t>к решению областного совета</t>
  </si>
  <si>
    <t>по функциональной структуре</t>
  </si>
  <si>
    <t>КФКР</t>
  </si>
  <si>
    <t>Дополнительная дотация на выравнивание финансовой обеспеченности местных бюджетов</t>
  </si>
  <si>
    <t>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</si>
  <si>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41031800</t>
  </si>
  <si>
    <t>250341</t>
  </si>
  <si>
    <t>Субвенция из государственного бюджета местным бюджетам для стимулирования развития регионов, в том числе депрессивных территорий</t>
  </si>
  <si>
    <t>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</si>
  <si>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</si>
  <si>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Служба внешней разведки Украины для 9 отдела 2 Управления с дислокацией в г.Донецке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</si>
  <si>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</si>
  <si>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250915</t>
  </si>
  <si>
    <t>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</si>
  <si>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 xml:space="preserve"> - реализация государственных программ и областных мероприятий</t>
  </si>
  <si>
    <t>на создание мобильных офисов в управлениях труда и социальной защиты населения городских советов и райгосадминистраций</t>
  </si>
  <si>
    <t>на проведение капитального ремонта территориального центра для открытия "Дома ветеранов" к 75-летию Донецкой области</t>
  </si>
  <si>
    <t>Субвенция из государственного бюджета местным бюджетам на финансирование в 2007 году Программ-победителей Всеукраинского конкурса проектов и программ развития местного самоуправления 2006 года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</si>
  <si>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</si>
  <si>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</si>
  <si>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</si>
  <si>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</si>
  <si>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</si>
  <si>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</si>
  <si>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</si>
  <si>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</si>
  <si>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</si>
  <si>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41037000</t>
  </si>
  <si>
    <t>Региональная программа развития архивного дела в Донецкой облати на 2006-1020 роки</t>
  </si>
  <si>
    <t>Коммунальное предприятие по обслуживанию админзданий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</si>
  <si>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</si>
  <si>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250388</t>
  </si>
  <si>
    <t>на проведение выборов депутатов ВР АРК, местных советов и сельских, поселковых, городских председателей</t>
  </si>
  <si>
    <t>оплата коммунальных услуг и энергонос. (код 1160)</t>
  </si>
  <si>
    <t>другие расходы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</si>
  <si>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</si>
  <si>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</si>
  <si>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</si>
  <si>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</si>
  <si>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</si>
  <si>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</si>
  <si>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</si>
  <si>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</si>
  <si>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Управление здравоохранения облгосадминистрации</t>
  </si>
  <si>
    <t>Главное управление труда и социальной защиты населения облгосадминистрации</t>
  </si>
  <si>
    <t>Управление по делам семьи и молодежи облгосадминистрации</t>
  </si>
  <si>
    <t>Управление жилищно-коммунального хозяйства облгосадминистрации</t>
  </si>
  <si>
    <t>Управление по вопросам физической культуры и спорта облгосадминистрации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</si>
  <si>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</si>
  <si>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</si>
  <si>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</si>
  <si>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</si>
  <si>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</si>
  <si>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250319</t>
  </si>
  <si>
    <t>250343</t>
  </si>
  <si>
    <t>250382</t>
  </si>
  <si>
    <t>250337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</si>
  <si>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</si>
  <si>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</si>
  <si>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</si>
  <si>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</si>
  <si>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</si>
  <si>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</si>
  <si>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</si>
  <si>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</si>
  <si>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</si>
  <si>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</si>
  <si>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</si>
  <si>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</si>
  <si>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</si>
  <si>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</si>
  <si>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</si>
  <si>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</si>
  <si>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</si>
  <si>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</si>
  <si>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</si>
  <si>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</si>
  <si>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</si>
  <si>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</si>
  <si>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</si>
  <si>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</si>
  <si>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</si>
  <si>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</si>
  <si>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</si>
  <si>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</si>
  <si>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</si>
  <si>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</si>
  <si>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</si>
  <si>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</si>
  <si>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>Проведение выборов депутатов местных советов</t>
  </si>
  <si>
    <t xml:space="preserve">Прочие расходы  </t>
  </si>
  <si>
    <t>И Т О Г О   Р А С Х О Д О В:</t>
  </si>
  <si>
    <t>Служба по делам несовершеннолетних облгосадминистрации</t>
  </si>
  <si>
    <t>Главное управление капитального строительства облгосадминистрации</t>
  </si>
  <si>
    <t>общий фонд</t>
  </si>
  <si>
    <t>Главное управление экономики облгосадминистрации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</si>
  <si>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</si>
  <si>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</si>
  <si>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</si>
  <si>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</si>
  <si>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</si>
  <si>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Название главного распорядителя кредитов</t>
  </si>
  <si>
    <t>Физическая культура и спорт (содержание учреждений физкультуры и спорта, проведение учебно-тренировочных, спортивно-оздоровительных сборов, соревнований и мероприятий)</t>
  </si>
  <si>
    <t>Донецкий областной совет</t>
  </si>
  <si>
    <t>070602</t>
  </si>
  <si>
    <t>Прочие расходы</t>
  </si>
  <si>
    <t>250203</t>
  </si>
  <si>
    <t>Детско-юношеская спортивная школа главного  управления образования и науки</t>
  </si>
  <si>
    <t>Библиотеки</t>
  </si>
  <si>
    <t>Помощь по уходу за инвалидами I или II группы вследствие психического расстройства</t>
  </si>
  <si>
    <t>Главное управление градостроительства, архитектуры и жилищно-коммунального хозяйства облгосадминистрации</t>
  </si>
  <si>
    <t>Программа развития земельных отношений и охраны земель в Донецкой области на 2006-2010 года</t>
  </si>
  <si>
    <t>130112</t>
  </si>
  <si>
    <t>Прочие расходы, в том числе</t>
  </si>
  <si>
    <t>Расходы за счет субвенции из государственного бюджета местным бюджетам на социально-экономическое развитие</t>
  </si>
  <si>
    <t>081011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</si>
  <si>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предотвращение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</si>
  <si>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Капитальные вложения, в т.ч.</t>
  </si>
  <si>
    <t>Капитальные вложения, в том числе</t>
  </si>
  <si>
    <t>41031200</t>
  </si>
  <si>
    <t>41031700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</si>
  <si>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</si>
  <si>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41033000</t>
  </si>
  <si>
    <t>41033100</t>
  </si>
  <si>
    <t>41033200</t>
  </si>
  <si>
    <t>41020600</t>
  </si>
  <si>
    <t xml:space="preserve">Дополнительная дотация на выравнивание финансовой обеспеченности местных бюджетов </t>
  </si>
  <si>
    <t>250335</t>
  </si>
  <si>
    <t>Субвенция из государственного бюджета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</si>
  <si>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</si>
  <si>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41032200</t>
  </si>
  <si>
    <t>41034900</t>
  </si>
  <si>
    <t>41035800</t>
  </si>
  <si>
    <t>250313</t>
  </si>
  <si>
    <t>250339</t>
  </si>
  <si>
    <t>250342</t>
  </si>
  <si>
    <t>250376</t>
  </si>
  <si>
    <t>Дополнительная дотация из государственного бюджета на выравнивание финансовой обеспеченности местных бюджетов</t>
  </si>
  <si>
    <t>Программа развития земельных отношений и охраны земель в Донецкой области на 2006-2010 годы</t>
  </si>
  <si>
    <t>Приложение 4</t>
  </si>
  <si>
    <t>от _______________      № _______</t>
  </si>
  <si>
    <t>Субвенции общего фонда: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</si>
  <si>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 (общий и специальный фонды)</t>
  </si>
  <si>
    <t>Субвенция из государственного бюджета местным бюджетам на строительство и развитие сети метрополитенов (общий и специальный фонды)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</si>
  <si>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 (общий и специальный фонды)</t>
  </si>
  <si>
    <t>Субвенции специального фонда:</t>
  </si>
  <si>
    <t>ВСЕГО</t>
  </si>
  <si>
    <t>на выплату помощи семьям с детьми, малообеспеченным семьям, инвалидам с детства, детям-инвалидам и временной государственной помощи детям</t>
  </si>
  <si>
    <t>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вывозу бытового мусора и жидких нечистот</t>
  </si>
  <si>
    <t>на предоставление льгот и жилищных субсидий населению на приобретение твердого и жидкого печного бытового топлива и сжиженного газа</t>
  </si>
  <si>
    <t>на предоставление льгот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</si>
  <si>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>в т.ч.</t>
  </si>
  <si>
    <t xml:space="preserve">финансирование в 2007 году Программ-победителей Всеукраинского конкурса проектов и программ развития местного самоуправления </t>
  </si>
  <si>
    <t xml:space="preserve">на выплату государственной социальной помощи на детей-сирот и детей, лишенных родительского попечения,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за принципом "деньги ходят за ребенком"  </t>
  </si>
  <si>
    <t>на оснащение учреждений, которые предоставляют социальные услуги детям и молодежи</t>
  </si>
  <si>
    <t>на социально-экономическое развитие</t>
  </si>
  <si>
    <t>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</si>
  <si>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на комплексную реконструкцию, разширение и техническое переоснащение коммунального предприятия "Международный аэропорт "Донецк"</t>
  </si>
  <si>
    <t>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работникам учебных заведений</t>
  </si>
  <si>
    <t>на проведение эксперемента по внедрению модели оказания специализированной медицинской помощи населению с целью предупреждения, выявления заболеваний на ранних стадиях</t>
  </si>
  <si>
    <t>на компьютеризацию и информатизацию общеобразовательных учебных учреждений районов</t>
  </si>
  <si>
    <t>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</si>
  <si>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на строительство, реконструкцию, ремонт автомобильных дорог коммунальной собственности</t>
  </si>
  <si>
    <t>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 теплосетей и котельных, строительство газопроводов и газификацию населенных пунктов</t>
  </si>
  <si>
    <t>Донецкий аппеляционный административный суд</t>
  </si>
  <si>
    <t xml:space="preserve">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 </t>
  </si>
  <si>
    <t>на приобретение школьных автобусов для перевозки детей, которые проживают в сельской местности</t>
  </si>
  <si>
    <t>компенсация за льготный проезд в городском и пригородном электро- и автотранспорте отдельных категорий граждан</t>
  </si>
  <si>
    <t xml:space="preserve">На реализацию раздела 5.1. «Обеспечение законности и правопорядка» Программы экономического и социального развития Донецкой области на 2007 год </t>
  </si>
  <si>
    <t>компенсация за льготный проезд в железнодорожном транспорте пригородного сообщения отдельных категорий граждан</t>
  </si>
  <si>
    <t>льготы на услуги связи</t>
  </si>
  <si>
    <t>компенсация за льготный проезд междугороднего сообщения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</si>
  <si>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смерти, компенсация за льготный  междугородний проезд гражданам, которые пострадали вследствие аварии на ЧАЕС</t>
  </si>
  <si>
    <t>воздуш-ным транс-портом</t>
  </si>
  <si>
    <t>железно-дорожным транспор-том</t>
  </si>
  <si>
    <t>Облбюджет</t>
  </si>
  <si>
    <t>Донецкое областное производственное объединение "Киновидеопрокат"</t>
  </si>
  <si>
    <t xml:space="preserve">Редакционная группа "Реабилитированные историей" </t>
  </si>
  <si>
    <t>200200</t>
  </si>
  <si>
    <t>Охрана и рациональное использование земель</t>
  </si>
  <si>
    <t>090411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</si>
  <si>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</si>
  <si>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</si>
  <si>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</si>
  <si>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</si>
  <si>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</si>
  <si>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</si>
  <si>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</si>
  <si>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</si>
  <si>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</si>
  <si>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</si>
  <si>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</si>
  <si>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</si>
  <si>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</si>
  <si>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</si>
  <si>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</si>
  <si>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</si>
  <si>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</si>
  <si>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</si>
  <si>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</si>
  <si>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</si>
  <si>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</si>
  <si>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</si>
  <si>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</si>
  <si>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</si>
  <si>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</si>
  <si>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</si>
  <si>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</si>
  <si>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</si>
  <si>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</si>
  <si>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</si>
  <si>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</si>
  <si>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</si>
  <si>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</si>
  <si>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</si>
  <si>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</si>
  <si>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</si>
  <si>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</si>
  <si>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</si>
  <si>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</si>
  <si>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</si>
  <si>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</si>
  <si>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</si>
  <si>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</si>
  <si>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</si>
  <si>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Всего по области</t>
  </si>
  <si>
    <t>240601  240602  240603  240604  240605</t>
  </si>
  <si>
    <t>Приложение 1</t>
  </si>
  <si>
    <t>Код</t>
  </si>
  <si>
    <t>Наименование доходов в соответствии с  бюджетной классификацией</t>
  </si>
  <si>
    <t>Общий фонд</t>
  </si>
  <si>
    <t>в т.ч. бюджет развития</t>
  </si>
  <si>
    <t>6=(гр.3+гр.4)</t>
  </si>
  <si>
    <t>Налоговые поступления</t>
  </si>
  <si>
    <t>Х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</si>
  <si>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</si>
  <si>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41034000</t>
  </si>
  <si>
    <t>41036300</t>
  </si>
  <si>
    <t>150202</t>
  </si>
  <si>
    <t>Разработка схем и проектніх решений массового применения</t>
  </si>
  <si>
    <t>Программа "Предупреждение и реагирование на чрезвычайные ситуации техногенного и природного характера"</t>
  </si>
  <si>
    <t>Раздел №Проведение земельной реформы" Программы экономического и социального развития Донецкой области на 2007 год</t>
  </si>
  <si>
    <t>Разработка схем и проектных решений массового применения</t>
  </si>
  <si>
    <t>на пополнение библиотечных фондов</t>
  </si>
  <si>
    <t>Другие мероприятия  в сфере электротранспорта ( расходы за счет субвенции из госбюджета)</t>
  </si>
  <si>
    <t>Налог на прибыль предприятий и организаций, которые относятся к коммунальной собственности</t>
  </si>
  <si>
    <t>41020100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</si>
  <si>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</si>
  <si>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развитие сети метрополитенов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</si>
  <si>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</si>
  <si>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</si>
  <si>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Управление культуры и туризма облгосадминистрации</t>
  </si>
  <si>
    <t>250326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</si>
  <si>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</t>
  </si>
  <si>
    <t>Субвенция из государственного бюджета местным бюджетам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</si>
  <si>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091303</t>
  </si>
  <si>
    <t>091304</t>
  </si>
  <si>
    <t>Компенсационные выплаты ынвалидам на бензин, ремонт, техобслуживание автотранспорта и транспортное обслуживание</t>
  </si>
  <si>
    <t>Мероприятия</t>
  </si>
  <si>
    <t>Получатель бюджетных средств</t>
  </si>
  <si>
    <t>Сумма, тыс.грн.</t>
  </si>
  <si>
    <t xml:space="preserve">Комплексная реконструкция, расширение, техническое оснащение коммунального предприятия «Международный аэропорт «Донецк» </t>
  </si>
  <si>
    <t>Коммунальное предприятие «Дирекция по капитальному строительству и реконструкции международного аэропорта «Донецк»</t>
  </si>
  <si>
    <t>Коммунальное предприятие «Международный аэропорт «Донецк»</t>
  </si>
  <si>
    <t>Продолжение реконструкции и техническое оснащение регионального спортивного комплекса «Олимпийский»</t>
  </si>
  <si>
    <t>Коммунальное предприятие «Региональный спортивный комплекс «Олимпийский»</t>
  </si>
  <si>
    <t>Увеличение уставного фонда предприятий, входящих в состав общей собственности территориальных громад сел, поселков, городов, находящейся в управлении областного совета.</t>
  </si>
  <si>
    <t>Коммунальное предприятие "Экспериментальный завод по переработке твердых бытовых отходов"</t>
  </si>
  <si>
    <t>Коммунальное предприятие "Донецкий региональный центр обращения с отходами"</t>
  </si>
  <si>
    <t>Коммунальное предприятие "Донецкий областной центр информатизации"</t>
  </si>
  <si>
    <t>Приложение 7</t>
  </si>
  <si>
    <t>ИТОГО:</t>
  </si>
  <si>
    <t>Перечень получателей бюджетных средств Донецкого областного совета</t>
  </si>
  <si>
    <t>160903</t>
  </si>
  <si>
    <t>Программы в отрасли сельского хозяйства, лесного хозяйства, рыболовства и охоты</t>
  </si>
  <si>
    <t>171000</t>
  </si>
  <si>
    <t>Деятельность и услуги, не отнесенные к другим категориям</t>
  </si>
  <si>
    <t>Главное управление агропромышленного развития облгосадминистрации</t>
  </si>
  <si>
    <t>всего</t>
  </si>
  <si>
    <t>Главное управление МВД Украины в Донецкой области</t>
  </si>
  <si>
    <t xml:space="preserve">Линейное управление на Донецкой железной дороге УМВД Украины на транспорте </t>
  </si>
  <si>
    <t>Управление Службы безопасности Украины в Донецкой области</t>
  </si>
  <si>
    <t>Управление Госдепартамента Украины по вопросам исполнения наказаний  в Донецкой области</t>
  </si>
  <si>
    <t>Прокуратура Донецкой области</t>
  </si>
  <si>
    <t>Территориальное управление Государственной судебной администрации в Донецкой области</t>
  </si>
  <si>
    <t>Донецкий юридический институт Луганского Государственного университета внутренних дел</t>
  </si>
  <si>
    <t>Раздел "Проведение земельной реформы" Программы экономического и социального развития Донецкой области на 2007 год</t>
  </si>
  <si>
    <t xml:space="preserve">Коммунальное предприятие «Региональная телерадиокомпания «Регион-Донбасс» </t>
  </si>
  <si>
    <t>Расходы за счет субвенции из государственного бюджета местным бюджетам на социально - экономическое развитие</t>
  </si>
  <si>
    <t>Распределение расходов областного бюджета на 2007 год</t>
  </si>
  <si>
    <t>по главным распорядителям средств</t>
  </si>
  <si>
    <t>100302</t>
  </si>
  <si>
    <t>Комбинаты коммунальных предприятий, районные ппроизводственные объединения и другие предприятия, учреждения и организации жилищно-коммунального хозяйства</t>
  </si>
  <si>
    <t xml:space="preserve">на ликвидацию последствий чрезвычайных ситуаций природного характера </t>
  </si>
  <si>
    <t xml:space="preserve">Установка телефонам инвалидам I и II групп </t>
  </si>
  <si>
    <t>110105</t>
  </si>
  <si>
    <t>Финансовая поддержка гастрольной деятельности</t>
  </si>
  <si>
    <t>Раздел "Развитие информационной сферы" Программы экономического и социального развития  Донецкой области на 2007 год</t>
  </si>
  <si>
    <t xml:space="preserve">Дополнительная дотация  на обеспечение расходов на оплату труда работников бюджетных учреждений в связи с повышением размера минимальной заработной платы, выплату стипендии и помощи ученикам и студентам учебных заведений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</si>
  <si>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</si>
  <si>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Распределение между местными бюджетами области объёмов межбюджетных трансфертов из государственного бюджета, предусмотренных приложением № 7 к Закону Украины "О Государственном бюджете Украины на 2007 год"</t>
  </si>
  <si>
    <t xml:space="preserve">Жилищное строительство и приобретение жилья военнослужащим и лицам рядового и руководящего состава, в том числе уволенным в запас или отставку по состоянию здоровья, возрасту,выслугой лет и в связи с сокращением штатов, пребывающие на квартирном учете по месту проживания, членам семей из числа этих лиц, которые погибли во время исполнения ими служебных обязанностей, а также участникам боевых действий в Афганистане и военных конфликтов </t>
  </si>
  <si>
    <t>Расходы за счет субвенции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</si>
  <si>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250358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</si>
  <si>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</si>
  <si>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</si>
  <si>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>Расходы за счет субвенции из государственного бюджета местным бюджетам на компьютеризацию и информатизацию общеобразовательных учреждений образования районов</t>
  </si>
  <si>
    <t>Компенсационные выплаты инвалидам на бензин, ремонт, техобслуживание автотранспорта и транспортное обслуживание</t>
  </si>
  <si>
    <t>Расходы за счет субвенции из государственного бюджета местным бюджетам на приобретение школьных автобусов для перевозки детей, проживающих в сельской местности</t>
  </si>
  <si>
    <t>Управление образования и науки облгосадминистрации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</si>
  <si>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</si>
  <si>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</si>
  <si>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</si>
  <si>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</si>
  <si>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</si>
  <si>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</si>
  <si>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</si>
  <si>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</si>
  <si>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</si>
  <si>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</si>
  <si>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</si>
  <si>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</si>
  <si>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</si>
  <si>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</si>
  <si>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</si>
  <si>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</si>
  <si>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</si>
  <si>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Наименование программ</t>
  </si>
  <si>
    <t>Проведение оздоровления и летнего отдыха детей-сирот, детей, лишенных родительской опеки</t>
  </si>
  <si>
    <t>Организация централизованного обеспечения коммунальных газет области бумагой</t>
  </si>
  <si>
    <t>На выполнение работ по установке светотехнического оборудования Донецкого академического театра оперы и балета им. А.Соловьяненко в рамках японского культурного гранта</t>
  </si>
  <si>
    <t>Димитров</t>
  </si>
  <si>
    <t>Харцызск</t>
  </si>
  <si>
    <t>Всего по бюджетам городов</t>
  </si>
  <si>
    <t xml:space="preserve">Великоновоселковский </t>
  </si>
  <si>
    <t xml:space="preserve">Волновахский </t>
  </si>
  <si>
    <t xml:space="preserve">Володарский </t>
  </si>
  <si>
    <t xml:space="preserve">Константиновский </t>
  </si>
  <si>
    <t xml:space="preserve">Красноармейский </t>
  </si>
  <si>
    <t xml:space="preserve">Новоазовский </t>
  </si>
  <si>
    <t xml:space="preserve">Александровский </t>
  </si>
  <si>
    <t xml:space="preserve">Першотравневый </t>
  </si>
  <si>
    <t xml:space="preserve">Славянский </t>
  </si>
  <si>
    <t xml:space="preserve">Старобешевский </t>
  </si>
  <si>
    <t xml:space="preserve">Тельмановский </t>
  </si>
  <si>
    <t xml:space="preserve">Шахтерский </t>
  </si>
  <si>
    <t>Всего по бюджетам районов</t>
  </si>
  <si>
    <t>Всего по бюджетам</t>
  </si>
  <si>
    <t>Приложение 6</t>
  </si>
  <si>
    <t>Программа реформирования и развития жилищно-коммунального хозяйства на 2005-2010 годы</t>
  </si>
  <si>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</si>
  <si>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</si>
  <si>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41035000</t>
  </si>
  <si>
    <t>№ п/п</t>
  </si>
  <si>
    <t>Главный распорядитель</t>
  </si>
  <si>
    <t>КФК расходов</t>
  </si>
  <si>
    <t>Управление по делам семьи и молодежи</t>
  </si>
  <si>
    <t xml:space="preserve">Главное управление градостроительства, архитектуры и жилищно-коммунального хозяйства </t>
  </si>
  <si>
    <t xml:space="preserve">Управление культуры и туризма </t>
  </si>
  <si>
    <t>Управление информации и связей с общественностью облгосадминистрации</t>
  </si>
  <si>
    <t>120000</t>
  </si>
  <si>
    <t>100000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</si>
  <si>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</si>
  <si>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</si>
  <si>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</si>
  <si>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</si>
  <si>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</si>
  <si>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</si>
  <si>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</si>
  <si>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</si>
  <si>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</si>
  <si>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</si>
  <si>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</si>
  <si>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</si>
  <si>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</si>
  <si>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</si>
  <si>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</si>
  <si>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</si>
  <si>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>тыс.грн.</t>
  </si>
  <si>
    <t>Средства на обеспечение бытовым углем отдельных категорий населения</t>
  </si>
  <si>
    <t>090416</t>
  </si>
  <si>
    <t>Прочие расходы на социальную защиту ветеранов войны и труда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</si>
  <si>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</si>
  <si>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</si>
  <si>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</si>
  <si>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</si>
  <si>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091101</t>
  </si>
  <si>
    <t>Содержание центров социальных служб для молодежи</t>
  </si>
  <si>
    <t>091102</t>
  </si>
  <si>
    <t>Программы и мероприятия центров социальных служб для молодежи</t>
  </si>
  <si>
    <t>091103</t>
  </si>
  <si>
    <t>091104</t>
  </si>
  <si>
    <t>Социальные программы и мероприятия государственных органов по делам женщин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</si>
  <si>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</si>
  <si>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</si>
  <si>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</si>
  <si>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</si>
  <si>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</si>
  <si>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</si>
  <si>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 xml:space="preserve">Жилищное строительство и приобретение жилья военнослужащим и лицам рядового и руководящего состава , в том числе уволенным в запас или отставку по состоянию здоровья, возрасту,выслугой лет и в связи с сокращением штатов, пребывающие на квартирном учете по месту проживания, членам семей из числа этих лиц, которые погибли во время исполнения ими служебных обязанностей, а также участникам боевых действий в Афганистане и военных конфликтов 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</si>
  <si>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</si>
  <si>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091210</t>
  </si>
  <si>
    <t>Службы технического надзора за строительством и капитальным ремонтом</t>
  </si>
  <si>
    <t>091211</t>
  </si>
  <si>
    <t>Прил.2</t>
  </si>
  <si>
    <t xml:space="preserve">Главное управление промышленности и развития инфраструктуры облгосадминистрации </t>
  </si>
  <si>
    <t>120100</t>
  </si>
  <si>
    <t>Телевидение и радиовещание</t>
  </si>
  <si>
    <t>091109</t>
  </si>
  <si>
    <t>Обустройство вновь созданных учреждений, предоставляющих социальные услуги детям и молодежи</t>
  </si>
  <si>
    <t>Программа "Информатизация 2005-2007"</t>
  </si>
  <si>
    <t>программа "Информатизация 2005-2007"</t>
  </si>
  <si>
    <t>Программа "Усовершенствование специализированной лечебно-диагностической помощи в Институте неотложной и восстановительной хирургии им.В.К. Гусака Академии медицинских наук Украины на период до 2008 года"</t>
  </si>
  <si>
    <t>Централизованные бухгалтерии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</si>
</sst>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5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 shrinkToFit="1"/>
    </xf>
    <xf numFmtId="172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 shrinkToFit="1"/>
    </xf>
    <xf numFmtId="172" fontId="4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172" fontId="3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right" vertical="top"/>
    </xf>
    <xf numFmtId="172" fontId="3" fillId="0" borderId="6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172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vertical="center" wrapText="1"/>
    </xf>
    <xf numFmtId="172" fontId="1" fillId="0" borderId="4" xfId="0" applyNumberFormat="1" applyFont="1" applyFill="1" applyBorder="1" applyAlignment="1">
      <alignment vertical="center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172" fontId="3" fillId="0" borderId="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shrinkToFit="1"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 shrinkToFit="1"/>
    </xf>
    <xf numFmtId="172" fontId="3" fillId="0" borderId="4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 shrinkToFit="1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49" fontId="1" fillId="0" borderId="18" xfId="0" applyNumberFormat="1" applyFont="1" applyFill="1" applyBorder="1" applyAlignment="1">
      <alignment horizontal="center"/>
    </xf>
    <xf numFmtId="172" fontId="13" fillId="0" borderId="4" xfId="0" applyNumberFormat="1" applyFont="1" applyFill="1" applyBorder="1" applyAlignment="1">
      <alignment horizontal="right"/>
    </xf>
    <xf numFmtId="172" fontId="14" fillId="0" borderId="4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13" fillId="0" borderId="4" xfId="0" applyNumberFormat="1" applyFont="1" applyFill="1" applyBorder="1" applyAlignment="1">
      <alignment/>
    </xf>
    <xf numFmtId="172" fontId="14" fillId="0" borderId="4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2" fontId="14" fillId="0" borderId="13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 vertical="top"/>
    </xf>
    <xf numFmtId="172" fontId="14" fillId="2" borderId="4" xfId="0" applyNumberFormat="1" applyFont="1" applyFill="1" applyBorder="1" applyAlignment="1">
      <alignment horizontal="right"/>
    </xf>
    <xf numFmtId="172" fontId="1" fillId="0" borderId="4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wrapText="1" shrinkToFit="1"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9" fontId="3" fillId="0" borderId="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172" fontId="3" fillId="0" borderId="4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wrapText="1" shrinkToFit="1"/>
    </xf>
    <xf numFmtId="172" fontId="1" fillId="2" borderId="4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vertical="center" wrapText="1" shrinkToFit="1"/>
    </xf>
    <xf numFmtId="172" fontId="1" fillId="2" borderId="1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4" xfId="0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justify" vertical="top" wrapText="1"/>
    </xf>
    <xf numFmtId="172" fontId="1" fillId="2" borderId="19" xfId="0" applyNumberFormat="1" applyFont="1" applyFill="1" applyBorder="1" applyAlignment="1">
      <alignment horizontal="center"/>
    </xf>
    <xf numFmtId="172" fontId="1" fillId="2" borderId="2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 shrinkToFit="1"/>
    </xf>
    <xf numFmtId="172" fontId="3" fillId="0" borderId="25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72" fontId="4" fillId="0" borderId="0" xfId="0" applyNumberFormat="1" applyFont="1" applyFill="1" applyBorder="1" applyAlignment="1">
      <alignment horizontal="left" wrapText="1" shrinkToFit="1"/>
    </xf>
    <xf numFmtId="0" fontId="1" fillId="2" borderId="4" xfId="0" applyNumberFormat="1" applyFont="1" applyFill="1" applyBorder="1" applyAlignment="1">
      <alignment vertical="top" wrapText="1"/>
    </xf>
    <xf numFmtId="172" fontId="1" fillId="0" borderId="19" xfId="0" applyNumberFormat="1" applyFont="1" applyFill="1" applyBorder="1" applyAlignment="1">
      <alignment/>
    </xf>
    <xf numFmtId="172" fontId="1" fillId="0" borderId="25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vertical="top" wrapText="1"/>
    </xf>
    <xf numFmtId="172" fontId="3" fillId="0" borderId="4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172" fontId="3" fillId="0" borderId="26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9" fontId="2" fillId="0" borderId="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172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5" xfId="0" applyFont="1" applyFill="1" applyBorder="1" applyAlignment="1">
      <alignment/>
    </xf>
    <xf numFmtId="172" fontId="17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172" fontId="17" fillId="0" borderId="19" xfId="0" applyNumberFormat="1" applyFont="1" applyFill="1" applyBorder="1" applyAlignment="1">
      <alignment horizontal="center"/>
    </xf>
    <xf numFmtId="172" fontId="17" fillId="0" borderId="19" xfId="0" applyNumberFormat="1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1" fillId="0" borderId="19" xfId="0" applyNumberFormat="1" applyFont="1" applyFill="1" applyBorder="1" applyAlignment="1">
      <alignment horizontal="right"/>
    </xf>
    <xf numFmtId="172" fontId="1" fillId="0" borderId="25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172" fontId="1" fillId="0" borderId="21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172" fontId="1" fillId="0" borderId="29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72" fontId="1" fillId="0" borderId="19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72" fontId="0" fillId="0" borderId="12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/>
    </xf>
    <xf numFmtId="180" fontId="3" fillId="0" borderId="4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9" fontId="17" fillId="0" borderId="13" xfId="0" applyNumberFormat="1" applyFont="1" applyFill="1" applyBorder="1" applyAlignment="1">
      <alignment horizontal="center"/>
    </xf>
    <xf numFmtId="179" fontId="17" fillId="0" borderId="4" xfId="0" applyNumberFormat="1" applyFont="1" applyFill="1" applyBorder="1" applyAlignment="1">
      <alignment horizontal="center"/>
    </xf>
    <xf numFmtId="179" fontId="2" fillId="0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1" fillId="0" borderId="32" xfId="0" applyNumberFormat="1" applyFont="1" applyBorder="1" applyAlignment="1">
      <alignment horizontal="center"/>
    </xf>
    <xf numFmtId="180" fontId="1" fillId="2" borderId="4" xfId="0" applyNumberFormat="1" applyFont="1" applyFill="1" applyBorder="1" applyAlignment="1">
      <alignment/>
    </xf>
    <xf numFmtId="180" fontId="3" fillId="0" borderId="4" xfId="0" applyNumberFormat="1" applyFont="1" applyBorder="1" applyAlignment="1">
      <alignment/>
    </xf>
    <xf numFmtId="180" fontId="4" fillId="0" borderId="0" xfId="0" applyNumberFormat="1" applyFont="1" applyFill="1" applyAlignment="1">
      <alignment horizontal="center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9" fontId="1" fillId="0" borderId="33" xfId="0" applyNumberFormat="1" applyFont="1" applyFill="1" applyBorder="1" applyAlignment="1">
      <alignment horizontal="center" vertical="top"/>
    </xf>
    <xf numFmtId="173" fontId="7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/>
    </xf>
    <xf numFmtId="172" fontId="17" fillId="0" borderId="21" xfId="0" applyNumberFormat="1" applyFont="1" applyFill="1" applyBorder="1" applyAlignment="1">
      <alignment horizontal="center"/>
    </xf>
    <xf numFmtId="172" fontId="17" fillId="0" borderId="22" xfId="0" applyNumberFormat="1" applyFont="1" applyFill="1" applyBorder="1" applyAlignment="1">
      <alignment horizontal="center"/>
    </xf>
    <xf numFmtId="172" fontId="17" fillId="0" borderId="34" xfId="0" applyNumberFormat="1" applyFont="1" applyFill="1" applyBorder="1" applyAlignment="1">
      <alignment horizontal="center"/>
    </xf>
    <xf numFmtId="172" fontId="2" fillId="0" borderId="35" xfId="0" applyNumberFormat="1" applyFont="1" applyFill="1" applyBorder="1" applyAlignment="1">
      <alignment horizontal="center"/>
    </xf>
    <xf numFmtId="49" fontId="1" fillId="3" borderId="36" xfId="0" applyNumberFormat="1" applyFont="1" applyFill="1" applyBorder="1" applyAlignment="1">
      <alignment horizontal="center" vertical="top"/>
    </xf>
    <xf numFmtId="0" fontId="1" fillId="3" borderId="13" xfId="0" applyNumberFormat="1" applyFont="1" applyFill="1" applyBorder="1" applyAlignment="1">
      <alignment horizontal="left" vertical="top" wrapText="1"/>
    </xf>
    <xf numFmtId="172" fontId="1" fillId="3" borderId="13" xfId="0" applyNumberFormat="1" applyFont="1" applyFill="1" applyBorder="1" applyAlignment="1">
      <alignment horizontal="right"/>
    </xf>
    <xf numFmtId="172" fontId="1" fillId="3" borderId="16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172" fontId="1" fillId="0" borderId="7" xfId="0" applyNumberFormat="1" applyFont="1" applyFill="1" applyBorder="1" applyAlignment="1">
      <alignment horizontal="right"/>
    </xf>
    <xf numFmtId="172" fontId="1" fillId="0" borderId="26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72" fontId="1" fillId="2" borderId="21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2" borderId="21" xfId="0" applyNumberFormat="1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/>
    </xf>
    <xf numFmtId="172" fontId="1" fillId="2" borderId="28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shrinkToFit="1"/>
    </xf>
    <xf numFmtId="180" fontId="3" fillId="0" borderId="0" xfId="0" applyNumberFormat="1" applyFont="1" applyAlignment="1">
      <alignment/>
    </xf>
    <xf numFmtId="9" fontId="2" fillId="0" borderId="2" xfId="0" applyNumberFormat="1" applyFont="1" applyFill="1" applyBorder="1" applyAlignment="1">
      <alignment horizontal="center" vertical="center" wrapText="1"/>
    </xf>
    <xf numFmtId="172" fontId="17" fillId="0" borderId="2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/>
    </xf>
    <xf numFmtId="173" fontId="5" fillId="0" borderId="4" xfId="0" applyNumberFormat="1" applyFont="1" applyBorder="1" applyAlignment="1">
      <alignment horizontal="center"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horizontal="right" vertical="top"/>
    </xf>
    <xf numFmtId="172" fontId="2" fillId="0" borderId="3" xfId="0" applyNumberFormat="1" applyFont="1" applyFill="1" applyBorder="1" applyAlignment="1">
      <alignment horizontal="center"/>
    </xf>
    <xf numFmtId="172" fontId="20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27" xfId="0" applyFont="1" applyFill="1" applyBorder="1" applyAlignment="1">
      <alignment horizontal="center" wrapText="1" shrinkToFit="1"/>
    </xf>
    <xf numFmtId="0" fontId="3" fillId="0" borderId="23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wrapText="1" shrinkToFit="1"/>
    </xf>
    <xf numFmtId="0" fontId="1" fillId="0" borderId="37" xfId="0" applyFont="1" applyFill="1" applyBorder="1" applyAlignment="1">
      <alignment horizontal="center" wrapText="1" shrinkToFi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3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9" fontId="2" fillId="0" borderId="37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9" xfId="0" applyNumberFormat="1" applyFont="1" applyFill="1" applyBorder="1" applyAlignment="1">
      <alignment horizontal="center" vertical="center" wrapText="1"/>
    </xf>
    <xf numFmtId="9" fontId="2" fillId="0" borderId="40" xfId="0" applyNumberFormat="1" applyFont="1" applyFill="1" applyBorder="1" applyAlignment="1">
      <alignment horizontal="center" vertical="center" wrapText="1"/>
    </xf>
    <xf numFmtId="9" fontId="2" fillId="0" borderId="38" xfId="0" applyNumberFormat="1" applyFont="1" applyFill="1" applyBorder="1" applyAlignment="1">
      <alignment horizontal="center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9" fontId="2" fillId="0" borderId="44" xfId="0" applyNumberFormat="1" applyFont="1" applyFill="1" applyBorder="1" applyAlignment="1">
      <alignment horizontal="center" vertical="center" wrapText="1"/>
    </xf>
    <xf numFmtId="172" fontId="2" fillId="0" borderId="8" xfId="0" applyNumberFormat="1" applyFont="1" applyFill="1" applyBorder="1" applyAlignment="1">
      <alignment horizontal="center" vertical="center"/>
    </xf>
    <xf numFmtId="172" fontId="2" fillId="0" borderId="37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9" fontId="2" fillId="0" borderId="8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9" fontId="19" fillId="0" borderId="8" xfId="0" applyNumberFormat="1" applyFont="1" applyFill="1" applyBorder="1" applyAlignment="1">
      <alignment horizontal="center" vertical="center" wrapText="1"/>
    </xf>
    <xf numFmtId="9" fontId="19" fillId="0" borderId="37" xfId="0" applyNumberFormat="1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9" fontId="2" fillId="0" borderId="45" xfId="0" applyNumberFormat="1" applyFont="1" applyFill="1" applyBorder="1" applyAlignment="1">
      <alignment horizontal="center" vertical="center" wrapText="1"/>
    </xf>
    <xf numFmtId="9" fontId="2" fillId="0" borderId="46" xfId="0" applyNumberFormat="1" applyFont="1" applyFill="1" applyBorder="1" applyAlignment="1">
      <alignment horizontal="center" vertical="center" wrapText="1"/>
    </xf>
    <xf numFmtId="9" fontId="2" fillId="0" borderId="47" xfId="0" applyNumberFormat="1" applyFont="1" applyFill="1" applyBorder="1" applyAlignment="1">
      <alignment horizontal="center" vertical="center" wrapText="1"/>
    </xf>
    <xf numFmtId="9" fontId="2" fillId="0" borderId="31" xfId="0" applyNumberFormat="1" applyFont="1" applyFill="1" applyBorder="1" applyAlignment="1">
      <alignment horizontal="center" vertical="center" wrapText="1"/>
    </xf>
    <xf numFmtId="9" fontId="2" fillId="0" borderId="41" xfId="0" applyNumberFormat="1" applyFont="1" applyFill="1" applyBorder="1" applyAlignment="1">
      <alignment horizontal="center" vertical="center" wrapText="1"/>
    </xf>
    <xf numFmtId="9" fontId="2" fillId="0" borderId="27" xfId="0" applyNumberFormat="1" applyFont="1" applyFill="1" applyBorder="1" applyAlignment="1">
      <alignment horizontal="center" vertical="center" wrapText="1"/>
    </xf>
    <xf numFmtId="9" fontId="2" fillId="0" borderId="3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1828800"/>
          <a:ext cx="158115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48;&#1047;&#1052;&#1045;&#1053;&#1045;&#1053;&#1048;&#1071;\2006\RESHENIE%2005.06.2006\&#1055;&#1088;&#1080;&#1083;&#1086;&#1078;&#1077;&#1085;&#1080;&#1103;1-7%2005.06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48;&#1047;&#1052;&#1045;&#1053;&#1045;&#1053;&#1048;&#1071;\2007\&#1056;&#1077;&#1096;&#1077;&#1085;&#1080;&#1077;%2031.05.07\&#1055;&#1088;&#1080;&#1083;&#1086;&#1078;.%20&#1082;%20&#1088;&#1077;&#1096;&#1077;&#1085;&#1080;&#1102;%201,2,3,4,5%20&#1052;&#1040;&#104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  <sheetName val="проверочная"/>
    </sheetNames>
    <sheetDataSet>
      <sheetData sheetId="1">
        <row r="148">
          <cell r="H148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  <sheetName val="проверочная"/>
    </sheetNames>
    <sheetDataSet>
      <sheetData sheetId="5">
        <row r="58">
          <cell r="O58">
            <v>27471.244000000002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view="pageBreakPreview" zoomScale="75" zoomScaleNormal="75" zoomScaleSheetLayoutView="75" workbookViewId="0" topLeftCell="A4">
      <pane xSplit="2" ySplit="8" topLeftCell="C80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E23" sqref="E23"/>
    </sheetView>
  </sheetViews>
  <sheetFormatPr defaultColWidth="9.00390625" defaultRowHeight="12.75"/>
  <cols>
    <col min="1" max="1" width="12.375" style="94" customWidth="1"/>
    <col min="2" max="2" width="51.375" style="95" customWidth="1"/>
    <col min="3" max="3" width="12.125" style="45" customWidth="1"/>
    <col min="4" max="4" width="13.125" style="45" customWidth="1"/>
    <col min="5" max="6" width="11.375" style="45" customWidth="1"/>
    <col min="7" max="7" width="10.00390625" style="45" bestFit="1" customWidth="1"/>
    <col min="8" max="9" width="9.375" style="45" bestFit="1" customWidth="1"/>
    <col min="10" max="10" width="10.375" style="45" bestFit="1" customWidth="1"/>
    <col min="11" max="11" width="10.00390625" style="45" bestFit="1" customWidth="1"/>
    <col min="12" max="16384" width="9.125" style="45" customWidth="1"/>
  </cols>
  <sheetData>
    <row r="1" spans="2:6" ht="12.75">
      <c r="B1" s="45"/>
      <c r="D1" s="371" t="s">
        <v>458</v>
      </c>
      <c r="E1" s="371"/>
      <c r="F1" s="371"/>
    </row>
    <row r="2" spans="4:6" ht="12.75">
      <c r="D2" s="371" t="s">
        <v>231</v>
      </c>
      <c r="E2" s="371"/>
      <c r="F2" s="371"/>
    </row>
    <row r="3" spans="4:6" ht="12.75">
      <c r="D3" s="371" t="s">
        <v>91</v>
      </c>
      <c r="E3" s="371"/>
      <c r="F3" s="371"/>
    </row>
    <row r="4" spans="5:6" ht="14.25" customHeight="1">
      <c r="E4" s="371"/>
      <c r="F4" s="371"/>
    </row>
    <row r="5" ht="3.75" customHeight="1" hidden="1"/>
    <row r="6" spans="1:6" ht="15" customHeight="1">
      <c r="A6" s="360" t="s">
        <v>92</v>
      </c>
      <c r="B6" s="360"/>
      <c r="C6" s="360"/>
      <c r="D6" s="360"/>
      <c r="E6" s="360"/>
      <c r="F6" s="360"/>
    </row>
    <row r="7" ht="12.75" customHeight="1">
      <c r="F7" s="3" t="s">
        <v>609</v>
      </c>
    </row>
    <row r="8" ht="12.75" thickBot="1"/>
    <row r="9" ht="12" customHeight="1" hidden="1" thickBot="1"/>
    <row r="10" spans="1:6" ht="13.5" thickBot="1">
      <c r="A10" s="361" t="s">
        <v>459</v>
      </c>
      <c r="B10" s="363" t="s">
        <v>460</v>
      </c>
      <c r="C10" s="365" t="s">
        <v>461</v>
      </c>
      <c r="D10" s="367" t="s">
        <v>154</v>
      </c>
      <c r="E10" s="368"/>
      <c r="F10" s="369" t="s">
        <v>253</v>
      </c>
    </row>
    <row r="11" spans="1:18" ht="26.25" thickBot="1">
      <c r="A11" s="362"/>
      <c r="B11" s="364"/>
      <c r="C11" s="366"/>
      <c r="D11" s="96" t="s">
        <v>509</v>
      </c>
      <c r="E11" s="97" t="s">
        <v>462</v>
      </c>
      <c r="F11" s="370"/>
      <c r="G11" s="6" t="s">
        <v>325</v>
      </c>
      <c r="R11" s="6" t="s">
        <v>325</v>
      </c>
    </row>
    <row r="12" spans="1:6" ht="13.5" thickBot="1">
      <c r="A12" s="98">
        <v>1</v>
      </c>
      <c r="B12" s="99">
        <v>2</v>
      </c>
      <c r="C12" s="100">
        <v>3</v>
      </c>
      <c r="D12" s="100">
        <v>4</v>
      </c>
      <c r="E12" s="100">
        <v>5</v>
      </c>
      <c r="F12" s="100" t="s">
        <v>463</v>
      </c>
    </row>
    <row r="13" spans="1:7" s="102" customFormat="1" ht="13.5" thickBot="1">
      <c r="A13" s="155">
        <v>10000000</v>
      </c>
      <c r="B13" s="156" t="s">
        <v>464</v>
      </c>
      <c r="C13" s="157">
        <f>C14+C20+C22</f>
        <v>1133871</v>
      </c>
      <c r="D13" s="157">
        <f>D18+D22</f>
        <v>49395</v>
      </c>
      <c r="E13" s="157" t="s">
        <v>465</v>
      </c>
      <c r="F13" s="158">
        <f>C13+D13</f>
        <v>1183266</v>
      </c>
      <c r="G13" s="101"/>
    </row>
    <row r="14" spans="1:6" ht="25.5">
      <c r="A14" s="103">
        <v>11000000</v>
      </c>
      <c r="B14" s="104" t="s">
        <v>542</v>
      </c>
      <c r="C14" s="105">
        <f>C15+C16</f>
        <v>981961.0000000001</v>
      </c>
      <c r="D14" s="105" t="s">
        <v>465</v>
      </c>
      <c r="E14" s="105" t="s">
        <v>465</v>
      </c>
      <c r="F14" s="106">
        <f>F15+F16</f>
        <v>981961.0000000001</v>
      </c>
    </row>
    <row r="15" spans="1:7" ht="12.75">
      <c r="A15" s="66">
        <v>11010000</v>
      </c>
      <c r="B15" s="43" t="s">
        <v>543</v>
      </c>
      <c r="C15" s="107">
        <f>882885.3+33971.4+48874.3+130</f>
        <v>965861.0000000001</v>
      </c>
      <c r="D15" s="44" t="s">
        <v>465</v>
      </c>
      <c r="E15" s="44" t="s">
        <v>465</v>
      </c>
      <c r="F15" s="108">
        <f>C15</f>
        <v>965861.0000000001</v>
      </c>
      <c r="G15" s="47">
        <f>916856.3-F15</f>
        <v>-49004.70000000007</v>
      </c>
    </row>
    <row r="16" spans="1:6" ht="12.75">
      <c r="A16" s="66">
        <v>11020000</v>
      </c>
      <c r="B16" s="43" t="s">
        <v>544</v>
      </c>
      <c r="C16" s="44">
        <f>C17</f>
        <v>16100</v>
      </c>
      <c r="D16" s="44" t="s">
        <v>465</v>
      </c>
      <c r="E16" s="44" t="s">
        <v>465</v>
      </c>
      <c r="F16" s="108">
        <f>C16</f>
        <v>16100</v>
      </c>
    </row>
    <row r="17" spans="1:6" ht="25.5">
      <c r="A17" s="66">
        <v>11020200</v>
      </c>
      <c r="B17" s="43" t="s">
        <v>476</v>
      </c>
      <c r="C17" s="107">
        <v>16100</v>
      </c>
      <c r="D17" s="44" t="s">
        <v>465</v>
      </c>
      <c r="E17" s="44" t="s">
        <v>465</v>
      </c>
      <c r="F17" s="108">
        <f>C17</f>
        <v>16100</v>
      </c>
    </row>
    <row r="18" spans="1:6" ht="12.75">
      <c r="A18" s="66">
        <v>12000000</v>
      </c>
      <c r="B18" s="43" t="s">
        <v>545</v>
      </c>
      <c r="C18" s="44" t="s">
        <v>465</v>
      </c>
      <c r="D18" s="44">
        <f>D19</f>
        <v>48000</v>
      </c>
      <c r="E18" s="44" t="s">
        <v>465</v>
      </c>
      <c r="F18" s="108">
        <f>F19</f>
        <v>48000</v>
      </c>
    </row>
    <row r="19" spans="1:6" ht="25.5">
      <c r="A19" s="66">
        <v>12020000</v>
      </c>
      <c r="B19" s="43" t="s">
        <v>546</v>
      </c>
      <c r="C19" s="44" t="s">
        <v>465</v>
      </c>
      <c r="D19" s="107">
        <v>48000</v>
      </c>
      <c r="E19" s="44" t="s">
        <v>465</v>
      </c>
      <c r="F19" s="108">
        <f>D19</f>
        <v>48000</v>
      </c>
    </row>
    <row r="20" spans="1:7" ht="16.5" customHeight="1">
      <c r="A20" s="66">
        <v>13000000</v>
      </c>
      <c r="B20" s="43" t="s">
        <v>547</v>
      </c>
      <c r="C20" s="44">
        <f>C21</f>
        <v>96600</v>
      </c>
      <c r="D20" s="44" t="s">
        <v>465</v>
      </c>
      <c r="E20" s="44" t="s">
        <v>465</v>
      </c>
      <c r="F20" s="108">
        <f>F21</f>
        <v>96600</v>
      </c>
      <c r="G20" s="47">
        <f>F20-91600</f>
        <v>5000</v>
      </c>
    </row>
    <row r="21" spans="1:6" ht="12.75">
      <c r="A21" s="66">
        <v>13050000</v>
      </c>
      <c r="B21" s="43" t="s">
        <v>548</v>
      </c>
      <c r="C21" s="107">
        <f>91600+5000</f>
        <v>96600</v>
      </c>
      <c r="D21" s="44" t="s">
        <v>465</v>
      </c>
      <c r="E21" s="44" t="s">
        <v>465</v>
      </c>
      <c r="F21" s="108">
        <f>C21</f>
        <v>96600</v>
      </c>
    </row>
    <row r="22" spans="1:7" ht="13.5" customHeight="1">
      <c r="A22" s="66">
        <v>14000000</v>
      </c>
      <c r="B22" s="43" t="s">
        <v>549</v>
      </c>
      <c r="C22" s="44">
        <f>C23+C25+C26</f>
        <v>55310</v>
      </c>
      <c r="D22" s="44">
        <f>D27</f>
        <v>1395</v>
      </c>
      <c r="E22" s="44" t="s">
        <v>465</v>
      </c>
      <c r="F22" s="108">
        <f>C22+D22</f>
        <v>56705</v>
      </c>
      <c r="G22" s="47">
        <f>F22-57605</f>
        <v>-900</v>
      </c>
    </row>
    <row r="23" spans="1:6" ht="12.75">
      <c r="A23" s="66">
        <v>14060200</v>
      </c>
      <c r="B23" s="43" t="s">
        <v>550</v>
      </c>
      <c r="C23" s="107">
        <v>180</v>
      </c>
      <c r="D23" s="44" t="s">
        <v>465</v>
      </c>
      <c r="E23" s="44" t="s">
        <v>465</v>
      </c>
      <c r="F23" s="108">
        <f>C23</f>
        <v>180</v>
      </c>
    </row>
    <row r="24" spans="1:6" ht="26.25" hidden="1">
      <c r="A24" s="66">
        <v>14060300</v>
      </c>
      <c r="B24" s="43" t="s">
        <v>551</v>
      </c>
      <c r="C24" s="41"/>
      <c r="D24" s="44" t="s">
        <v>465</v>
      </c>
      <c r="E24" s="44" t="s">
        <v>465</v>
      </c>
      <c r="F24" s="108">
        <f>C24</f>
        <v>0</v>
      </c>
    </row>
    <row r="25" spans="1:6" ht="25.5">
      <c r="A25" s="66" t="s">
        <v>155</v>
      </c>
      <c r="B25" s="43" t="s">
        <v>156</v>
      </c>
      <c r="C25" s="107">
        <v>30</v>
      </c>
      <c r="D25" s="44" t="s">
        <v>465</v>
      </c>
      <c r="E25" s="44" t="s">
        <v>465</v>
      </c>
      <c r="F25" s="108">
        <f>C25</f>
        <v>30</v>
      </c>
    </row>
    <row r="26" spans="1:7" ht="25.5">
      <c r="A26" s="66">
        <v>14061100</v>
      </c>
      <c r="B26" s="43" t="s">
        <v>552</v>
      </c>
      <c r="C26" s="107">
        <f>56000-900</f>
        <v>55100</v>
      </c>
      <c r="D26" s="44" t="s">
        <v>465</v>
      </c>
      <c r="E26" s="44" t="s">
        <v>465</v>
      </c>
      <c r="F26" s="108">
        <f>C26</f>
        <v>55100</v>
      </c>
      <c r="G26" s="47">
        <f>F26-56000</f>
        <v>-900</v>
      </c>
    </row>
    <row r="27" spans="1:6" ht="25.5">
      <c r="A27" s="66">
        <v>14070000</v>
      </c>
      <c r="B27" s="43" t="s">
        <v>553</v>
      </c>
      <c r="C27" s="44" t="s">
        <v>465</v>
      </c>
      <c r="D27" s="44">
        <f>D28</f>
        <v>1395</v>
      </c>
      <c r="E27" s="44" t="s">
        <v>465</v>
      </c>
      <c r="F27" s="108">
        <f>F28</f>
        <v>1395</v>
      </c>
    </row>
    <row r="28" spans="1:6" ht="39" customHeight="1">
      <c r="A28" s="66">
        <v>14071500</v>
      </c>
      <c r="B28" s="43" t="s">
        <v>554</v>
      </c>
      <c r="C28" s="44" t="s">
        <v>465</v>
      </c>
      <c r="D28" s="107">
        <v>1395</v>
      </c>
      <c r="E28" s="44" t="s">
        <v>465</v>
      </c>
      <c r="F28" s="108">
        <f>D28</f>
        <v>1395</v>
      </c>
    </row>
    <row r="29" spans="1:7" s="102" customFormat="1" ht="12.75">
      <c r="A29" s="65">
        <v>20000000</v>
      </c>
      <c r="B29" s="109" t="s">
        <v>555</v>
      </c>
      <c r="C29" s="110">
        <f>C30+C33+C35+C38</f>
        <v>23780</v>
      </c>
      <c r="D29" s="110">
        <f>D30+D38+D43</f>
        <v>45433.4</v>
      </c>
      <c r="E29" s="110" t="s">
        <v>465</v>
      </c>
      <c r="F29" s="111">
        <f>C29+D29</f>
        <v>69213.4</v>
      </c>
      <c r="G29" s="116">
        <f>F29-60383.4</f>
        <v>8829.999999999993</v>
      </c>
    </row>
    <row r="30" spans="1:7" ht="25.5">
      <c r="A30" s="66">
        <v>21000000</v>
      </c>
      <c r="B30" s="43" t="s">
        <v>556</v>
      </c>
      <c r="C30" s="44">
        <f>C31</f>
        <v>20000</v>
      </c>
      <c r="D30" s="44">
        <f>D32</f>
        <v>1605.1</v>
      </c>
      <c r="E30" s="44" t="s">
        <v>465</v>
      </c>
      <c r="F30" s="108">
        <f>C30</f>
        <v>20000</v>
      </c>
      <c r="G30" s="47">
        <f>F30-10000</f>
        <v>10000</v>
      </c>
    </row>
    <row r="31" spans="1:6" ht="26.25" customHeight="1">
      <c r="A31" s="66">
        <v>21040000</v>
      </c>
      <c r="B31" s="43" t="s">
        <v>157</v>
      </c>
      <c r="C31" s="44">
        <f>10000+10000</f>
        <v>20000</v>
      </c>
      <c r="D31" s="44" t="s">
        <v>465</v>
      </c>
      <c r="E31" s="44" t="s">
        <v>465</v>
      </c>
      <c r="F31" s="108">
        <f>C31</f>
        <v>20000</v>
      </c>
    </row>
    <row r="32" spans="1:6" ht="25.5">
      <c r="A32" s="66">
        <v>21110000</v>
      </c>
      <c r="B32" s="43" t="s">
        <v>557</v>
      </c>
      <c r="C32" s="44" t="s">
        <v>465</v>
      </c>
      <c r="D32" s="44">
        <v>1605.1</v>
      </c>
      <c r="E32" s="44" t="s">
        <v>465</v>
      </c>
      <c r="F32" s="108">
        <f>D32</f>
        <v>1605.1</v>
      </c>
    </row>
    <row r="33" spans="1:8" ht="25.5">
      <c r="A33" s="66">
        <v>22000000</v>
      </c>
      <c r="B33" s="43" t="s">
        <v>593</v>
      </c>
      <c r="C33" s="44">
        <f>C34</f>
        <v>3600</v>
      </c>
      <c r="D33" s="44" t="s">
        <v>465</v>
      </c>
      <c r="E33" s="44" t="s">
        <v>465</v>
      </c>
      <c r="F33" s="108">
        <f>C33</f>
        <v>3600</v>
      </c>
      <c r="G33" s="47">
        <f>F33-4300</f>
        <v>-700</v>
      </c>
      <c r="H33" s="47"/>
    </row>
    <row r="34" spans="1:6" ht="24.75" customHeight="1">
      <c r="A34" s="66">
        <v>22080000</v>
      </c>
      <c r="B34" s="112" t="s">
        <v>158</v>
      </c>
      <c r="C34" s="107">
        <f>4300-700</f>
        <v>3600</v>
      </c>
      <c r="D34" s="44" t="s">
        <v>465</v>
      </c>
      <c r="E34" s="44" t="s">
        <v>465</v>
      </c>
      <c r="F34" s="108">
        <f>C34</f>
        <v>3600</v>
      </c>
    </row>
    <row r="35" spans="1:6" ht="12.75">
      <c r="A35" s="66">
        <v>23000000</v>
      </c>
      <c r="B35" s="43" t="s">
        <v>594</v>
      </c>
      <c r="C35" s="44">
        <f>C37</f>
        <v>0</v>
      </c>
      <c r="D35" s="44" t="s">
        <v>465</v>
      </c>
      <c r="E35" s="44" t="s">
        <v>465</v>
      </c>
      <c r="F35" s="108">
        <f>C35</f>
        <v>0</v>
      </c>
    </row>
    <row r="36" spans="1:6" ht="76.5" hidden="1">
      <c r="A36" s="66">
        <v>23020000</v>
      </c>
      <c r="B36" s="43" t="s">
        <v>606</v>
      </c>
      <c r="C36" s="113" t="s">
        <v>465</v>
      </c>
      <c r="D36" s="113" t="s">
        <v>465</v>
      </c>
      <c r="E36" s="113" t="s">
        <v>465</v>
      </c>
      <c r="F36" s="114" t="s">
        <v>465</v>
      </c>
    </row>
    <row r="37" spans="1:6" ht="12.75">
      <c r="A37" s="66">
        <v>23030000</v>
      </c>
      <c r="B37" s="43" t="s">
        <v>595</v>
      </c>
      <c r="C37" s="107">
        <v>0</v>
      </c>
      <c r="D37" s="44" t="s">
        <v>465</v>
      </c>
      <c r="E37" s="44" t="s">
        <v>465</v>
      </c>
      <c r="F37" s="108">
        <f>C37</f>
        <v>0</v>
      </c>
    </row>
    <row r="38" spans="1:7" ht="12.75">
      <c r="A38" s="66">
        <v>24000000</v>
      </c>
      <c r="B38" s="43" t="s">
        <v>596</v>
      </c>
      <c r="C38" s="107">
        <f>C41</f>
        <v>180</v>
      </c>
      <c r="D38" s="44">
        <f>D42</f>
        <v>40</v>
      </c>
      <c r="E38" s="44" t="s">
        <v>465</v>
      </c>
      <c r="F38" s="108">
        <f>C38+D38</f>
        <v>220</v>
      </c>
      <c r="G38" s="47">
        <f>F38-690</f>
        <v>-470</v>
      </c>
    </row>
    <row r="39" spans="1:6" ht="12.75" hidden="1">
      <c r="A39" s="66"/>
      <c r="B39" s="43"/>
      <c r="C39" s="44">
        <v>0</v>
      </c>
      <c r="D39" s="44" t="s">
        <v>465</v>
      </c>
      <c r="E39" s="44" t="s">
        <v>465</v>
      </c>
      <c r="F39" s="108">
        <v>0</v>
      </c>
    </row>
    <row r="40" spans="1:6" ht="38.25" hidden="1">
      <c r="A40" s="66">
        <v>24030000</v>
      </c>
      <c r="B40" s="43" t="s">
        <v>607</v>
      </c>
      <c r="C40" s="113" t="s">
        <v>465</v>
      </c>
      <c r="D40" s="113" t="s">
        <v>465</v>
      </c>
      <c r="E40" s="113" t="s">
        <v>465</v>
      </c>
      <c r="F40" s="114" t="s">
        <v>465</v>
      </c>
    </row>
    <row r="41" spans="1:6" ht="12.75">
      <c r="A41" s="66">
        <v>24060300</v>
      </c>
      <c r="B41" s="43" t="s">
        <v>597</v>
      </c>
      <c r="C41" s="44">
        <f>650-470</f>
        <v>180</v>
      </c>
      <c r="D41" s="44" t="s">
        <v>465</v>
      </c>
      <c r="E41" s="44" t="s">
        <v>465</v>
      </c>
      <c r="F41" s="108">
        <f>C41</f>
        <v>180</v>
      </c>
    </row>
    <row r="42" spans="1:6" ht="24" customHeight="1">
      <c r="A42" s="66" t="s">
        <v>159</v>
      </c>
      <c r="B42" s="112" t="s">
        <v>160</v>
      </c>
      <c r="C42" s="44" t="s">
        <v>465</v>
      </c>
      <c r="D42" s="44">
        <v>40</v>
      </c>
      <c r="E42" s="107" t="s">
        <v>465</v>
      </c>
      <c r="F42" s="108">
        <f>D42</f>
        <v>40</v>
      </c>
    </row>
    <row r="43" spans="1:7" ht="12.75">
      <c r="A43" s="66">
        <v>25000000</v>
      </c>
      <c r="B43" s="43" t="s">
        <v>598</v>
      </c>
      <c r="C43" s="44" t="s">
        <v>465</v>
      </c>
      <c r="D43" s="44">
        <v>43788.3</v>
      </c>
      <c r="E43" s="44" t="s">
        <v>465</v>
      </c>
      <c r="F43" s="108">
        <f>D43</f>
        <v>43788.3</v>
      </c>
      <c r="G43" s="47">
        <f>F43-43788.3</f>
        <v>0</v>
      </c>
    </row>
    <row r="44" spans="1:7" s="102" customFormat="1" ht="38.25">
      <c r="A44" s="66">
        <v>31030000</v>
      </c>
      <c r="B44" s="43" t="s">
        <v>599</v>
      </c>
      <c r="C44" s="44" t="s">
        <v>465</v>
      </c>
      <c r="D44" s="107">
        <f>6400-5400</f>
        <v>1000</v>
      </c>
      <c r="E44" s="107">
        <f>D44</f>
        <v>1000</v>
      </c>
      <c r="F44" s="108">
        <f>D44</f>
        <v>1000</v>
      </c>
      <c r="G44" s="116">
        <f>F44-1000</f>
        <v>0</v>
      </c>
    </row>
    <row r="45" spans="1:6" s="102" customFormat="1" ht="12.75">
      <c r="A45" s="66">
        <v>50000000</v>
      </c>
      <c r="B45" s="43" t="s">
        <v>316</v>
      </c>
      <c r="C45" s="44" t="s">
        <v>465</v>
      </c>
      <c r="D45" s="44">
        <v>0</v>
      </c>
      <c r="E45" s="44" t="s">
        <v>465</v>
      </c>
      <c r="F45" s="108">
        <f>D45</f>
        <v>0</v>
      </c>
    </row>
    <row r="46" spans="1:7" ht="12.75">
      <c r="A46" s="66">
        <v>50080000</v>
      </c>
      <c r="B46" s="43" t="s">
        <v>600</v>
      </c>
      <c r="C46" s="44" t="s">
        <v>465</v>
      </c>
      <c r="D46" s="107">
        <v>49000</v>
      </c>
      <c r="E46" s="44" t="s">
        <v>465</v>
      </c>
      <c r="F46" s="108">
        <f>D46</f>
        <v>49000</v>
      </c>
      <c r="G46" s="47">
        <f>49000-F46</f>
        <v>0</v>
      </c>
    </row>
    <row r="47" spans="1:8" s="102" customFormat="1" ht="12.75">
      <c r="A47" s="356" t="s">
        <v>601</v>
      </c>
      <c r="B47" s="357"/>
      <c r="C47" s="115">
        <f>C13+C29</f>
        <v>1157651</v>
      </c>
      <c r="D47" s="115">
        <f>D13+D29+D44+D45+D46</f>
        <v>144828.4</v>
      </c>
      <c r="E47" s="110">
        <f>E44</f>
        <v>1000</v>
      </c>
      <c r="F47" s="111">
        <f>C47+D47</f>
        <v>1302479.4</v>
      </c>
      <c r="G47" s="102">
        <f>1254421.8-57664.5</f>
        <v>1196757.3</v>
      </c>
      <c r="H47" s="116">
        <f>G47-1240545.1</f>
        <v>-43787.80000000005</v>
      </c>
    </row>
    <row r="48" spans="1:6" s="102" customFormat="1" ht="12.75">
      <c r="A48" s="65"/>
      <c r="B48" s="109"/>
      <c r="C48" s="115"/>
      <c r="D48" s="115"/>
      <c r="E48" s="110"/>
      <c r="F48" s="111"/>
    </row>
    <row r="49" spans="1:6" ht="12.75">
      <c r="A49" s="65">
        <v>40000000</v>
      </c>
      <c r="B49" s="109" t="s">
        <v>602</v>
      </c>
      <c r="C49" s="110">
        <f>C50+C51+C53+C52</f>
        <v>2158843.089</v>
      </c>
      <c r="D49" s="110">
        <f>D53+D84</f>
        <v>544602.3999999999</v>
      </c>
      <c r="E49" s="110">
        <f>E53+E84</f>
        <v>451237.89999999997</v>
      </c>
      <c r="F49" s="111">
        <f>C49+D49</f>
        <v>2703445.489</v>
      </c>
    </row>
    <row r="50" spans="1:6" ht="12.75">
      <c r="A50" s="66" t="s">
        <v>477</v>
      </c>
      <c r="B50" s="43" t="s">
        <v>93</v>
      </c>
      <c r="C50" s="44">
        <v>3347.1</v>
      </c>
      <c r="D50" s="44" t="s">
        <v>465</v>
      </c>
      <c r="E50" s="44" t="s">
        <v>465</v>
      </c>
      <c r="F50" s="108">
        <f>C50</f>
        <v>3347.1</v>
      </c>
    </row>
    <row r="51" spans="1:6" ht="29.25" customHeight="1">
      <c r="A51" s="66" t="s">
        <v>356</v>
      </c>
      <c r="B51" s="43" t="s">
        <v>357</v>
      </c>
      <c r="C51" s="44">
        <f>54063.3+33138.2</f>
        <v>87201.5</v>
      </c>
      <c r="D51" s="44" t="s">
        <v>465</v>
      </c>
      <c r="E51" s="44" t="s">
        <v>465</v>
      </c>
      <c r="F51" s="108">
        <f>C51</f>
        <v>87201.5</v>
      </c>
    </row>
    <row r="52" spans="1:6" ht="114.75">
      <c r="A52" s="66" t="s">
        <v>185</v>
      </c>
      <c r="B52" s="43" t="s">
        <v>11</v>
      </c>
      <c r="C52" s="44">
        <f>29971.1+44583.6</f>
        <v>74554.7</v>
      </c>
      <c r="D52" s="44"/>
      <c r="E52" s="44"/>
      <c r="F52" s="108">
        <f>C52</f>
        <v>74554.7</v>
      </c>
    </row>
    <row r="53" spans="1:6" ht="18" customHeight="1">
      <c r="A53" s="65">
        <v>41030000</v>
      </c>
      <c r="B53" s="109" t="s">
        <v>603</v>
      </c>
      <c r="C53" s="110">
        <f>C55+C56+C57+C58+C59+C60+C62+C64+C70+C71+C72+C73+C65+C67+C78+C80+C77+C82+C61+C69+C68+C83+C81+C54+C76+C63</f>
        <v>1993739.789</v>
      </c>
      <c r="D53" s="110">
        <f>D56+D57+D58+D59+D60+D64+D71+D77+D68+D73+E56+D80+D72+D67+D83+D78+D82+D66+D74+D75+D79+D62+D65+D69+D76</f>
        <v>179694.4</v>
      </c>
      <c r="E53" s="110">
        <f>E56+E57+E58+E59+E60+E64+E71+E77+E68+E73+E80+E72+E75+E65+E76</f>
        <v>86329.90000000001</v>
      </c>
      <c r="F53" s="111">
        <f>C53+D53</f>
        <v>2173434.1890000002</v>
      </c>
    </row>
    <row r="54" spans="1:8" ht="38.25">
      <c r="A54" s="66" t="s">
        <v>581</v>
      </c>
      <c r="B54" s="43" t="s">
        <v>582</v>
      </c>
      <c r="C54" s="44">
        <f>18202.4+798.85-20+16-13285.95+6299.879+1391.61+46-15-6299.879-1391.61</f>
        <v>5742.300000000001</v>
      </c>
      <c r="D54" s="44"/>
      <c r="E54" s="44"/>
      <c r="F54" s="108">
        <f>C54+D54</f>
        <v>5742.300000000001</v>
      </c>
      <c r="G54" s="288">
        <f>F54-13433.8</f>
        <v>-7691.499999999998</v>
      </c>
      <c r="H54" s="47">
        <f>C54+7691.5</f>
        <v>13433.800000000001</v>
      </c>
    </row>
    <row r="55" spans="1:7" ht="12.75" hidden="1">
      <c r="A55" s="177"/>
      <c r="B55" s="178"/>
      <c r="C55" s="179"/>
      <c r="D55" s="179"/>
      <c r="E55" s="179"/>
      <c r="F55" s="180">
        <f aca="true" t="shared" si="0" ref="F55:F70">C55+D55</f>
        <v>0</v>
      </c>
      <c r="G55" s="47"/>
    </row>
    <row r="56" spans="1:7" ht="58.5" customHeight="1">
      <c r="A56" s="66" t="s">
        <v>161</v>
      </c>
      <c r="B56" s="70" t="s">
        <v>478</v>
      </c>
      <c r="C56" s="44">
        <f>733190.5+71440.6</f>
        <v>804631.1</v>
      </c>
      <c r="D56" s="44"/>
      <c r="E56" s="44"/>
      <c r="F56" s="108">
        <f t="shared" si="0"/>
        <v>804631.1</v>
      </c>
      <c r="G56" s="288"/>
    </row>
    <row r="57" spans="1:8" ht="136.5" customHeight="1">
      <c r="A57" s="177">
        <v>41030700</v>
      </c>
      <c r="B57" s="202" t="s">
        <v>530</v>
      </c>
      <c r="C57" s="179">
        <v>5658.5</v>
      </c>
      <c r="D57" s="179"/>
      <c r="E57" s="179"/>
      <c r="F57" s="180">
        <f t="shared" si="0"/>
        <v>5658.5</v>
      </c>
      <c r="H57" s="47">
        <f>C54+'№1'!C76</f>
        <v>13236.689</v>
      </c>
    </row>
    <row r="58" spans="1:10" ht="72.75" customHeight="1">
      <c r="A58" s="126" t="s">
        <v>162</v>
      </c>
      <c r="B58" s="159" t="s">
        <v>94</v>
      </c>
      <c r="C58" s="153">
        <v>552589.2</v>
      </c>
      <c r="D58" s="44"/>
      <c r="E58" s="44"/>
      <c r="F58" s="108">
        <f t="shared" si="0"/>
        <v>552589.2</v>
      </c>
      <c r="J58" s="182"/>
    </row>
    <row r="59" spans="1:6" ht="120" customHeight="1">
      <c r="A59" s="66" t="s">
        <v>163</v>
      </c>
      <c r="B59" s="67" t="s">
        <v>312</v>
      </c>
      <c r="C59" s="44">
        <v>93703</v>
      </c>
      <c r="D59" s="44"/>
      <c r="E59" s="44"/>
      <c r="F59" s="108">
        <f t="shared" si="0"/>
        <v>93703</v>
      </c>
    </row>
    <row r="60" spans="1:6" ht="51">
      <c r="A60" s="126" t="s">
        <v>164</v>
      </c>
      <c r="B60" s="159" t="s">
        <v>95</v>
      </c>
      <c r="C60" s="153">
        <v>31203.3</v>
      </c>
      <c r="D60" s="44"/>
      <c r="E60" s="44"/>
      <c r="F60" s="108">
        <f t="shared" si="0"/>
        <v>31203.3</v>
      </c>
    </row>
    <row r="61" spans="1:6" ht="41.25" customHeight="1">
      <c r="A61" s="177" t="s">
        <v>350</v>
      </c>
      <c r="B61" s="181" t="s">
        <v>107</v>
      </c>
      <c r="C61" s="179">
        <v>2369.1</v>
      </c>
      <c r="D61" s="188"/>
      <c r="E61" s="188"/>
      <c r="F61" s="189">
        <f>C61+D61</f>
        <v>2369.1</v>
      </c>
    </row>
    <row r="62" spans="1:7" ht="58.5" customHeight="1">
      <c r="A62" s="177" t="s">
        <v>351</v>
      </c>
      <c r="B62" s="183" t="s">
        <v>96</v>
      </c>
      <c r="C62" s="184">
        <v>140000</v>
      </c>
      <c r="D62" s="179"/>
      <c r="E62" s="179"/>
      <c r="F62" s="180">
        <f t="shared" si="0"/>
        <v>140000</v>
      </c>
      <c r="G62" s="185"/>
    </row>
    <row r="63" spans="1:7" ht="38.25">
      <c r="A63" s="177" t="s">
        <v>236</v>
      </c>
      <c r="B63" s="183" t="s">
        <v>238</v>
      </c>
      <c r="C63" s="184">
        <v>60000</v>
      </c>
      <c r="D63" s="179"/>
      <c r="E63" s="179"/>
      <c r="F63" s="180">
        <f t="shared" si="0"/>
        <v>60000</v>
      </c>
      <c r="G63" s="294">
        <f>F63-0</f>
        <v>60000</v>
      </c>
    </row>
    <row r="64" spans="1:6" ht="110.25" customHeight="1">
      <c r="A64" s="177" t="s">
        <v>361</v>
      </c>
      <c r="B64" s="183" t="s">
        <v>360</v>
      </c>
      <c r="C64" s="179">
        <v>98507.5</v>
      </c>
      <c r="D64" s="179"/>
      <c r="E64" s="179"/>
      <c r="F64" s="180">
        <f t="shared" si="0"/>
        <v>98507.5</v>
      </c>
    </row>
    <row r="65" spans="1:6" ht="87" customHeight="1">
      <c r="A65" s="177" t="s">
        <v>124</v>
      </c>
      <c r="B65" s="181" t="s">
        <v>126</v>
      </c>
      <c r="C65" s="179">
        <v>39944.6</v>
      </c>
      <c r="D65" s="179"/>
      <c r="E65" s="179"/>
      <c r="F65" s="180">
        <f>C65+D65</f>
        <v>39944.6</v>
      </c>
    </row>
    <row r="66" spans="1:7" ht="42" customHeight="1">
      <c r="A66" s="177" t="s">
        <v>98</v>
      </c>
      <c r="B66" s="181" t="s">
        <v>99</v>
      </c>
      <c r="C66" s="179" t="s">
        <v>465</v>
      </c>
      <c r="D66" s="179">
        <v>68999</v>
      </c>
      <c r="E66" s="179"/>
      <c r="F66" s="180">
        <f>D66</f>
        <v>68999</v>
      </c>
      <c r="G66" s="185"/>
    </row>
    <row r="67" spans="1:6" ht="69" customHeight="1">
      <c r="A67" s="177" t="s">
        <v>353</v>
      </c>
      <c r="B67" s="181" t="s">
        <v>352</v>
      </c>
      <c r="C67" s="179">
        <v>20000</v>
      </c>
      <c r="D67" s="179"/>
      <c r="E67" s="179"/>
      <c r="F67" s="180">
        <f>C67+D67</f>
        <v>20000</v>
      </c>
    </row>
    <row r="68" spans="1:6" ht="48" customHeight="1">
      <c r="A68" s="177" t="s">
        <v>354</v>
      </c>
      <c r="B68" s="181" t="s">
        <v>115</v>
      </c>
      <c r="C68" s="179">
        <v>4344.6</v>
      </c>
      <c r="D68" s="179"/>
      <c r="E68" s="179"/>
      <c r="F68" s="180">
        <f>C68+D68</f>
        <v>4344.6</v>
      </c>
    </row>
    <row r="69" spans="1:6" ht="71.25" customHeight="1">
      <c r="A69" s="177" t="s">
        <v>355</v>
      </c>
      <c r="B69" s="190" t="s">
        <v>116</v>
      </c>
      <c r="C69" s="179">
        <v>1970.1</v>
      </c>
      <c r="D69" s="179"/>
      <c r="E69" s="179"/>
      <c r="F69" s="189">
        <f>C69+D69</f>
        <v>1970.1</v>
      </c>
    </row>
    <row r="70" spans="1:6" ht="33" customHeight="1">
      <c r="A70" s="177" t="s">
        <v>123</v>
      </c>
      <c r="B70" s="186" t="s">
        <v>97</v>
      </c>
      <c r="C70" s="179">
        <v>58000</v>
      </c>
      <c r="D70" s="179"/>
      <c r="E70" s="179"/>
      <c r="F70" s="180">
        <f t="shared" si="0"/>
        <v>58000</v>
      </c>
    </row>
    <row r="71" spans="1:6" ht="0.75" customHeight="1">
      <c r="A71" s="177"/>
      <c r="B71" s="187"/>
      <c r="C71" s="179"/>
      <c r="D71" s="179"/>
      <c r="E71" s="179"/>
      <c r="F71" s="180">
        <f>C71+D71</f>
        <v>0</v>
      </c>
    </row>
    <row r="72" spans="1:10" ht="29.25" customHeight="1">
      <c r="A72" s="177" t="s">
        <v>467</v>
      </c>
      <c r="B72" s="181" t="s">
        <v>479</v>
      </c>
      <c r="C72" s="179">
        <v>54700</v>
      </c>
      <c r="D72" s="179">
        <v>12500</v>
      </c>
      <c r="E72" s="179">
        <v>12500</v>
      </c>
      <c r="F72" s="180">
        <f>C72+D72</f>
        <v>67200</v>
      </c>
      <c r="G72" s="185"/>
      <c r="J72" s="47">
        <f>C54+C76</f>
        <v>13236.689</v>
      </c>
    </row>
    <row r="73" spans="1:6" ht="69.75" customHeight="1" hidden="1">
      <c r="A73" s="177"/>
      <c r="B73" s="181"/>
      <c r="C73" s="179"/>
      <c r="D73" s="179"/>
      <c r="E73" s="179"/>
      <c r="F73" s="180">
        <f>C73+D73</f>
        <v>0</v>
      </c>
    </row>
    <row r="74" spans="1:8" ht="126.75" customHeight="1">
      <c r="A74" s="177" t="s">
        <v>100</v>
      </c>
      <c r="B74" s="202" t="s">
        <v>240</v>
      </c>
      <c r="C74" s="179" t="s">
        <v>465</v>
      </c>
      <c r="D74" s="179">
        <v>4527.7</v>
      </c>
      <c r="E74" s="179"/>
      <c r="F74" s="180">
        <f>D74</f>
        <v>4527.7</v>
      </c>
      <c r="G74" s="185"/>
      <c r="H74" s="185"/>
    </row>
    <row r="75" spans="1:6" ht="99.75" customHeight="1">
      <c r="A75" s="177" t="s">
        <v>362</v>
      </c>
      <c r="B75" s="202" t="s">
        <v>242</v>
      </c>
      <c r="C75" s="179" t="s">
        <v>465</v>
      </c>
      <c r="D75" s="179">
        <v>64611.3</v>
      </c>
      <c r="E75" s="179">
        <v>64611.3</v>
      </c>
      <c r="F75" s="180">
        <f>D75</f>
        <v>64611.3</v>
      </c>
    </row>
    <row r="76" spans="1:11" ht="12.75">
      <c r="A76" s="66" t="s">
        <v>583</v>
      </c>
      <c r="B76" s="67" t="s">
        <v>608</v>
      </c>
      <c r="C76" s="44">
        <f>200+7691.489-19.6-377.5</f>
        <v>7494.388999999999</v>
      </c>
      <c r="D76" s="44">
        <f>10037.4+3800+19.6-4638.4</f>
        <v>9218.6</v>
      </c>
      <c r="E76" s="44">
        <f>D76</f>
        <v>9218.6</v>
      </c>
      <c r="F76" s="108">
        <f>C76+D76</f>
        <v>16712.989</v>
      </c>
      <c r="G76" s="47">
        <f>C76-200</f>
        <v>7294.388999999999</v>
      </c>
      <c r="H76" s="47">
        <f>G76+D76</f>
        <v>16512.989</v>
      </c>
      <c r="I76" s="45">
        <f>6620500+3416955+3800000+19550</f>
        <v>13857005</v>
      </c>
      <c r="J76" s="45">
        <f>2787329+3395200+117350+1391610-19550</f>
        <v>7671939</v>
      </c>
      <c r="K76" s="47">
        <f>F76-16513</f>
        <v>199.9890000000014</v>
      </c>
    </row>
    <row r="77" spans="1:8" ht="99.75" customHeight="1">
      <c r="A77" s="177" t="s">
        <v>363</v>
      </c>
      <c r="B77" s="181" t="s">
        <v>62</v>
      </c>
      <c r="C77" s="179">
        <f>1532.7+75+1450.4+174.3</f>
        <v>3232.4000000000005</v>
      </c>
      <c r="D77" s="179"/>
      <c r="E77" s="179"/>
      <c r="F77" s="180">
        <f>C77+D77</f>
        <v>3232.4000000000005</v>
      </c>
      <c r="G77" s="47">
        <f>F77-3058.1</f>
        <v>174.30000000000064</v>
      </c>
      <c r="H77" s="47">
        <f>C76+C54</f>
        <v>13236.689</v>
      </c>
    </row>
    <row r="78" spans="1:7" ht="69.75" customHeight="1">
      <c r="A78" s="177" t="s">
        <v>101</v>
      </c>
      <c r="B78" s="181" t="s">
        <v>102</v>
      </c>
      <c r="C78" s="179">
        <f>5470-3837.8</f>
        <v>1632.1999999999998</v>
      </c>
      <c r="D78" s="179">
        <v>563.8</v>
      </c>
      <c r="E78" s="179"/>
      <c r="F78" s="180">
        <f>C78+D78</f>
        <v>2196</v>
      </c>
      <c r="G78" s="185"/>
    </row>
    <row r="79" spans="1:8" ht="43.5" customHeight="1">
      <c r="A79" s="177" t="s">
        <v>103</v>
      </c>
      <c r="B79" s="181" t="s">
        <v>481</v>
      </c>
      <c r="C79" s="179" t="s">
        <v>465</v>
      </c>
      <c r="D79" s="179">
        <v>1605.5</v>
      </c>
      <c r="E79" s="179"/>
      <c r="F79" s="180">
        <f>D79</f>
        <v>1605.5</v>
      </c>
      <c r="G79" s="185"/>
      <c r="H79" s="185"/>
    </row>
    <row r="80" spans="1:7" ht="60" customHeight="1">
      <c r="A80" s="177" t="s">
        <v>468</v>
      </c>
      <c r="B80" s="181" t="s">
        <v>104</v>
      </c>
      <c r="C80" s="179">
        <v>500</v>
      </c>
      <c r="D80" s="179"/>
      <c r="E80" s="179"/>
      <c r="F80" s="180">
        <f>C80+D80</f>
        <v>500</v>
      </c>
      <c r="G80" s="185"/>
    </row>
    <row r="81" spans="1:8" ht="60" customHeight="1">
      <c r="A81" s="66" t="s">
        <v>258</v>
      </c>
      <c r="B81" s="67" t="s">
        <v>261</v>
      </c>
      <c r="C81" s="179">
        <f>41.6+21.7+28.8+25.4</f>
        <v>117.5</v>
      </c>
      <c r="D81" s="179"/>
      <c r="E81" s="179"/>
      <c r="F81" s="180">
        <f>C81+D81</f>
        <v>117.5</v>
      </c>
      <c r="G81" s="294">
        <f>F81-63.3</f>
        <v>54.2</v>
      </c>
      <c r="H81" s="45">
        <f>28.8+25.4</f>
        <v>54.2</v>
      </c>
    </row>
    <row r="82" spans="1:7" ht="41.25" customHeight="1">
      <c r="A82" s="177" t="s">
        <v>105</v>
      </c>
      <c r="B82" s="181" t="s">
        <v>106</v>
      </c>
      <c r="C82" s="179">
        <v>7400</v>
      </c>
      <c r="D82" s="179">
        <v>14700</v>
      </c>
      <c r="E82" s="179"/>
      <c r="F82" s="180">
        <f>C82+D82</f>
        <v>22100</v>
      </c>
      <c r="G82" s="185"/>
    </row>
    <row r="83" spans="1:8" ht="69" customHeight="1">
      <c r="A83" s="177" t="s">
        <v>117</v>
      </c>
      <c r="B83" s="181" t="s">
        <v>480</v>
      </c>
      <c r="C83" s="157"/>
      <c r="D83" s="179">
        <v>2968.5</v>
      </c>
      <c r="E83" s="179"/>
      <c r="F83" s="180">
        <f>D83</f>
        <v>2968.5</v>
      </c>
      <c r="G83" s="185"/>
      <c r="H83" s="185"/>
    </row>
    <row r="84" spans="1:10" ht="27.75" customHeight="1" thickBot="1">
      <c r="A84" s="155">
        <v>43010000</v>
      </c>
      <c r="B84" s="191" t="s">
        <v>604</v>
      </c>
      <c r="C84" s="157" t="s">
        <v>465</v>
      </c>
      <c r="D84" s="157">
        <f>163278.5+10000-10000+90+22500+13720+20000+400+2000+5000-5000+30+30+30+2230+1600+74+50745.6+7000-5000+4000+59691.6+11886.3-1000+1902+9400+300</f>
        <v>364907.99999999994</v>
      </c>
      <c r="E84" s="157">
        <f>D84</f>
        <v>364907.99999999994</v>
      </c>
      <c r="F84" s="192">
        <f>D84</f>
        <v>364907.99999999994</v>
      </c>
      <c r="H84" s="47"/>
      <c r="J84" s="45">
        <f>26668-21376.4</f>
        <v>5291.5999999999985</v>
      </c>
    </row>
    <row r="85" spans="1:11" s="102" customFormat="1" ht="13.5" thickBot="1">
      <c r="A85" s="358" t="s">
        <v>605</v>
      </c>
      <c r="B85" s="359"/>
      <c r="C85" s="193">
        <f>C47+C49</f>
        <v>3316494.089</v>
      </c>
      <c r="D85" s="193">
        <f>D47+D49</f>
        <v>689430.7999999999</v>
      </c>
      <c r="E85" s="193">
        <f>E49+E47</f>
        <v>452237.89999999997</v>
      </c>
      <c r="F85" s="194">
        <f>C85+D85</f>
        <v>4005924.889</v>
      </c>
      <c r="G85" s="102">
        <f>3806598.1+61564.3+28.8+25.4+174.3+60000+81879.9+600+100-5015.9+300-460+130</f>
        <v>4005924.8999999994</v>
      </c>
      <c r="H85" s="116">
        <f>G85-F85</f>
        <v>0.010999999474734068</v>
      </c>
      <c r="J85" s="102">
        <f>6565-480-385+491.6+1100-2000+54400+11886.3-1000+1902+9400+300</f>
        <v>82179.9</v>
      </c>
      <c r="K85" s="292">
        <f>J85-11886.3</f>
        <v>70293.59999999999</v>
      </c>
    </row>
    <row r="86" spans="2:10" ht="12.75">
      <c r="B86" s="195"/>
      <c r="C86" s="196"/>
      <c r="D86" s="196"/>
      <c r="E86" s="197"/>
      <c r="F86" s="196"/>
      <c r="G86" s="197">
        <f>G85-F85</f>
        <v>0.010999999474734068</v>
      </c>
      <c r="H86" s="197">
        <f>G85-F85</f>
        <v>0.010999999474734068</v>
      </c>
      <c r="J86" s="47">
        <f>5676.6-5391.6</f>
        <v>285</v>
      </c>
    </row>
    <row r="87" spans="2:10" ht="12.75">
      <c r="B87" s="195"/>
      <c r="C87" s="196"/>
      <c r="D87" s="196"/>
      <c r="E87" s="196"/>
      <c r="F87" s="196"/>
      <c r="G87" s="197"/>
      <c r="H87" s="198"/>
      <c r="J87" s="47"/>
    </row>
    <row r="88" spans="2:10" ht="12.75">
      <c r="B88" s="195"/>
      <c r="C88" s="196"/>
      <c r="D88" s="196"/>
      <c r="E88" s="196"/>
      <c r="F88" s="196"/>
      <c r="G88" s="197"/>
      <c r="H88" s="198"/>
      <c r="J88" s="47"/>
    </row>
    <row r="89" spans="2:10" ht="12.75">
      <c r="B89" s="195"/>
      <c r="C89" s="196"/>
      <c r="D89" s="196"/>
      <c r="E89" s="196"/>
      <c r="F89" s="196"/>
      <c r="G89" s="197"/>
      <c r="H89" s="198"/>
      <c r="J89" s="47"/>
    </row>
    <row r="90" spans="2:8" ht="12.75">
      <c r="B90" s="195"/>
      <c r="C90" s="199"/>
      <c r="D90" s="199"/>
      <c r="E90" s="199"/>
      <c r="F90" s="199"/>
      <c r="G90" s="197"/>
      <c r="H90" s="198"/>
    </row>
    <row r="91" spans="2:8" ht="12.75">
      <c r="B91" s="195"/>
      <c r="C91" s="199"/>
      <c r="D91" s="199"/>
      <c r="E91" s="199"/>
      <c r="F91" s="199"/>
      <c r="G91" s="197"/>
      <c r="H91" s="198"/>
    </row>
    <row r="92" spans="2:8" ht="12.75">
      <c r="B92" s="195"/>
      <c r="C92" s="199"/>
      <c r="D92" s="199"/>
      <c r="E92" s="199"/>
      <c r="F92" s="199"/>
      <c r="G92" s="197"/>
      <c r="H92" s="198"/>
    </row>
    <row r="93" spans="2:8" ht="12.75">
      <c r="B93" s="195"/>
      <c r="C93" s="199"/>
      <c r="D93" s="199"/>
      <c r="E93" s="199"/>
      <c r="F93" s="199"/>
      <c r="G93" s="198"/>
      <c r="H93" s="198"/>
    </row>
    <row r="94" spans="2:8" ht="12.75">
      <c r="B94" s="200"/>
      <c r="C94" s="199"/>
      <c r="D94" s="199"/>
      <c r="E94" s="199"/>
      <c r="F94" s="199"/>
      <c r="G94" s="198"/>
      <c r="H94" s="198"/>
    </row>
    <row r="95" spans="2:8" ht="12">
      <c r="B95" s="200"/>
      <c r="C95" s="198"/>
      <c r="D95" s="198"/>
      <c r="E95" s="198"/>
      <c r="F95" s="198"/>
      <c r="G95" s="198"/>
      <c r="H95" s="198"/>
    </row>
    <row r="96" spans="2:8" ht="12">
      <c r="B96" s="201"/>
      <c r="C96" s="197"/>
      <c r="D96" s="198"/>
      <c r="E96" s="198"/>
      <c r="F96" s="197"/>
      <c r="G96" s="198"/>
      <c r="H96" s="198"/>
    </row>
    <row r="97" spans="2:8" ht="12">
      <c r="B97" s="200"/>
      <c r="C97" s="198"/>
      <c r="D97" s="198"/>
      <c r="E97" s="198"/>
      <c r="F97" s="198"/>
      <c r="G97" s="198"/>
      <c r="H97" s="198"/>
    </row>
    <row r="98" spans="2:8" ht="12">
      <c r="B98" s="200"/>
      <c r="C98" s="197"/>
      <c r="D98" s="198"/>
      <c r="E98" s="198"/>
      <c r="F98" s="198"/>
      <c r="G98" s="198"/>
      <c r="H98" s="293"/>
    </row>
    <row r="99" spans="2:8" ht="12">
      <c r="B99" s="200"/>
      <c r="C99" s="198"/>
      <c r="D99" s="198"/>
      <c r="E99" s="198"/>
      <c r="F99" s="198"/>
      <c r="G99" s="198"/>
      <c r="H99" s="293"/>
    </row>
    <row r="100" spans="2:8" ht="12">
      <c r="B100" s="200"/>
      <c r="C100" s="198"/>
      <c r="D100" s="198"/>
      <c r="E100" s="198"/>
      <c r="F100" s="198"/>
      <c r="G100" s="198"/>
      <c r="H100" s="293"/>
    </row>
    <row r="101" spans="2:8" ht="12">
      <c r="B101" s="200"/>
      <c r="C101" s="198"/>
      <c r="D101" s="198"/>
      <c r="E101" s="198"/>
      <c r="F101" s="198"/>
      <c r="G101" s="198"/>
      <c r="H101" s="293"/>
    </row>
    <row r="102" spans="2:8" ht="12">
      <c r="B102" s="200"/>
      <c r="C102" s="198"/>
      <c r="D102" s="198"/>
      <c r="E102" s="198"/>
      <c r="F102" s="198"/>
      <c r="G102" s="198"/>
      <c r="H102" s="198"/>
    </row>
    <row r="103" spans="2:8" ht="12">
      <c r="B103" s="200"/>
      <c r="C103" s="198"/>
      <c r="D103" s="198"/>
      <c r="E103" s="198"/>
      <c r="F103" s="198"/>
      <c r="G103" s="198"/>
      <c r="H103" s="198"/>
    </row>
    <row r="104" ht="12">
      <c r="D104" s="47"/>
    </row>
  </sheetData>
  <sheetProtection formatCells="0" formatColumns="0" formatRows="0" insertColumns="0" insertRows="0" insertHyperlinks="0" deleteColumns="0" deleteRows="0" sort="0" autoFilter="0" pivotTables="0"/>
  <mergeCells count="12">
    <mergeCell ref="D1:F1"/>
    <mergeCell ref="D2:F2"/>
    <mergeCell ref="D3:F3"/>
    <mergeCell ref="E4:F4"/>
    <mergeCell ref="A47:B47"/>
    <mergeCell ref="A85:B85"/>
    <mergeCell ref="A6:F6"/>
    <mergeCell ref="A10:A11"/>
    <mergeCell ref="B10:B11"/>
    <mergeCell ref="C10:C11"/>
    <mergeCell ref="D10:E10"/>
    <mergeCell ref="F10:F11"/>
  </mergeCells>
  <printOptions/>
  <pageMargins left="0.65" right="0.11" top="0.15" bottom="0.31" header="0.14" footer="0.17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53"/>
  <sheetViews>
    <sheetView view="pageBreakPreview" zoomScale="75" zoomScaleNormal="75" zoomScaleSheetLayoutView="75" workbookViewId="0" topLeftCell="A8">
      <pane xSplit="2" ySplit="5" topLeftCell="C128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F100" sqref="F100"/>
    </sheetView>
  </sheetViews>
  <sheetFormatPr defaultColWidth="9.00390625" defaultRowHeight="12.75"/>
  <cols>
    <col min="1" max="1" width="8.125" style="56" customWidth="1"/>
    <col min="2" max="2" width="51.375" style="2" customWidth="1"/>
    <col min="3" max="3" width="11.375" style="3" customWidth="1"/>
    <col min="4" max="4" width="10.625" style="3" customWidth="1"/>
    <col min="5" max="5" width="9.375" style="3" customWidth="1"/>
    <col min="6" max="6" width="11.125" style="3" customWidth="1"/>
    <col min="7" max="7" width="11.125" style="3" bestFit="1" customWidth="1"/>
    <col min="8" max="8" width="10.625" style="3" customWidth="1"/>
    <col min="9" max="9" width="10.00390625" style="3" bestFit="1" customWidth="1"/>
    <col min="10" max="10" width="9.875" style="3" hidden="1" customWidth="1"/>
    <col min="11" max="11" width="11.375" style="3" bestFit="1" customWidth="1"/>
    <col min="12" max="12" width="10.625" style="3" customWidth="1"/>
    <col min="13" max="13" width="13.875" style="3" customWidth="1"/>
    <col min="14" max="16384" width="8.875" style="3" customWidth="1"/>
  </cols>
  <sheetData>
    <row r="1" spans="7:11" ht="12" customHeight="1">
      <c r="G1" s="344" t="s">
        <v>230</v>
      </c>
      <c r="H1" s="344"/>
      <c r="I1" s="344"/>
      <c r="J1" s="344"/>
      <c r="K1" s="344"/>
    </row>
    <row r="2" spans="7:11" ht="16.5" customHeight="1">
      <c r="G2" s="345" t="s">
        <v>231</v>
      </c>
      <c r="H2" s="345"/>
      <c r="I2" s="345"/>
      <c r="J2" s="345"/>
      <c r="K2" s="345"/>
    </row>
    <row r="3" spans="7:11" ht="12.75">
      <c r="G3" s="371" t="s">
        <v>200</v>
      </c>
      <c r="H3" s="371"/>
      <c r="I3" s="371"/>
      <c r="J3" s="371"/>
      <c r="K3" s="371"/>
    </row>
    <row r="5" spans="2:8" ht="13.5" customHeight="1">
      <c r="B5" s="1"/>
      <c r="C5" s="6"/>
      <c r="D5" s="6"/>
      <c r="E5" s="6"/>
      <c r="F5" s="6"/>
      <c r="G5" s="6"/>
      <c r="H5" s="6"/>
    </row>
    <row r="6" spans="1:11" ht="15.75">
      <c r="A6" s="346" t="s">
        <v>131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2" ht="15" customHeight="1">
      <c r="A7" s="346" t="s">
        <v>232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7"/>
    </row>
    <row r="8" spans="6:12" ht="13.5" thickBot="1">
      <c r="F8" s="8"/>
      <c r="G8" s="8"/>
      <c r="I8" s="9"/>
      <c r="J8" s="10"/>
      <c r="K8" s="3" t="s">
        <v>609</v>
      </c>
      <c r="L8" s="7"/>
    </row>
    <row r="9" spans="1:12" ht="25.5" customHeight="1" thickBot="1">
      <c r="A9" s="347" t="s">
        <v>233</v>
      </c>
      <c r="B9" s="374" t="s">
        <v>249</v>
      </c>
      <c r="C9" s="341" t="s">
        <v>250</v>
      </c>
      <c r="D9" s="377"/>
      <c r="E9" s="377"/>
      <c r="F9" s="377"/>
      <c r="G9" s="378"/>
      <c r="H9" s="379" t="s">
        <v>251</v>
      </c>
      <c r="I9" s="380"/>
      <c r="J9" s="381"/>
      <c r="K9" s="374" t="s">
        <v>252</v>
      </c>
      <c r="L9" s="11"/>
    </row>
    <row r="10" spans="1:12" ht="24" customHeight="1" thickBot="1">
      <c r="A10" s="348"/>
      <c r="B10" s="375"/>
      <c r="C10" s="353" t="s">
        <v>253</v>
      </c>
      <c r="D10" s="353" t="s">
        <v>254</v>
      </c>
      <c r="E10" s="355"/>
      <c r="F10" s="355"/>
      <c r="G10" s="351"/>
      <c r="H10" s="354" t="s">
        <v>253</v>
      </c>
      <c r="I10" s="12" t="s">
        <v>255</v>
      </c>
      <c r="J10" s="352" t="s">
        <v>256</v>
      </c>
      <c r="K10" s="375"/>
      <c r="L10" s="11"/>
    </row>
    <row r="11" spans="1:18" ht="110.25" customHeight="1" thickBot="1">
      <c r="A11" s="340"/>
      <c r="B11" s="375"/>
      <c r="C11" s="354"/>
      <c r="D11" s="331" t="s">
        <v>257</v>
      </c>
      <c r="E11" s="13" t="s">
        <v>264</v>
      </c>
      <c r="F11" s="13" t="s">
        <v>265</v>
      </c>
      <c r="G11" s="13" t="s">
        <v>112</v>
      </c>
      <c r="H11" s="354"/>
      <c r="I11" s="13" t="s">
        <v>266</v>
      </c>
      <c r="J11" s="349"/>
      <c r="K11" s="376"/>
      <c r="L11" s="11"/>
      <c r="R11" s="3" t="s">
        <v>325</v>
      </c>
    </row>
    <row r="12" spans="1:12" ht="13.5" thickBot="1">
      <c r="A12" s="57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7"/>
    </row>
    <row r="13" spans="1:13" s="16" customFormat="1" ht="15.75" customHeight="1">
      <c r="A13" s="130" t="s">
        <v>267</v>
      </c>
      <c r="B13" s="131" t="s">
        <v>268</v>
      </c>
      <c r="C13" s="78">
        <f aca="true" t="shared" si="0" ref="C13:J13">C14</f>
        <v>17508.3</v>
      </c>
      <c r="D13" s="78">
        <f t="shared" si="0"/>
        <v>2933</v>
      </c>
      <c r="E13" s="78">
        <f t="shared" si="0"/>
        <v>2387</v>
      </c>
      <c r="F13" s="78">
        <f t="shared" si="0"/>
        <v>12188.3</v>
      </c>
      <c r="G13" s="78"/>
      <c r="H13" s="78">
        <f t="shared" si="0"/>
        <v>80</v>
      </c>
      <c r="I13" s="145">
        <f t="shared" si="0"/>
        <v>0</v>
      </c>
      <c r="J13" s="145">
        <f t="shared" si="0"/>
        <v>0</v>
      </c>
      <c r="K13" s="79">
        <f aca="true" t="shared" si="1" ref="K13:K76">C13+H13</f>
        <v>17588.3</v>
      </c>
      <c r="L13" s="310">
        <v>17508.3</v>
      </c>
      <c r="M13" s="24">
        <f>L13-C13</f>
        <v>0</v>
      </c>
    </row>
    <row r="14" spans="1:13" ht="12.75">
      <c r="A14" s="128" t="s">
        <v>269</v>
      </c>
      <c r="B14" s="129" t="s">
        <v>270</v>
      </c>
      <c r="C14" s="122">
        <f>D14+E14+F14+G14</f>
        <v>17508.3</v>
      </c>
      <c r="D14" s="122">
        <v>2933</v>
      </c>
      <c r="E14" s="122">
        <v>2387</v>
      </c>
      <c r="F14" s="122">
        <f>14143-1954.7</f>
        <v>12188.3</v>
      </c>
      <c r="G14" s="122"/>
      <c r="H14" s="122">
        <v>80</v>
      </c>
      <c r="I14" s="146"/>
      <c r="J14" s="146"/>
      <c r="K14" s="125">
        <f t="shared" si="1"/>
        <v>17588.3</v>
      </c>
      <c r="L14" s="311"/>
      <c r="M14" s="24"/>
    </row>
    <row r="15" spans="1:13" ht="25.5" hidden="1">
      <c r="A15" s="58" t="s">
        <v>271</v>
      </c>
      <c r="B15" s="23" t="s">
        <v>272</v>
      </c>
      <c r="C15" s="42">
        <f aca="true" t="shared" si="2" ref="C15:I15">C16</f>
        <v>0</v>
      </c>
      <c r="D15" s="135">
        <f t="shared" si="2"/>
        <v>0</v>
      </c>
      <c r="E15" s="135">
        <f t="shared" si="2"/>
        <v>0</v>
      </c>
      <c r="F15" s="42">
        <f t="shared" si="2"/>
        <v>0</v>
      </c>
      <c r="G15" s="135">
        <f t="shared" si="2"/>
        <v>0</v>
      </c>
      <c r="H15" s="135">
        <f t="shared" si="2"/>
        <v>0</v>
      </c>
      <c r="I15" s="135">
        <f t="shared" si="2"/>
        <v>0</v>
      </c>
      <c r="J15" s="135"/>
      <c r="K15" s="59">
        <f t="shared" si="1"/>
        <v>0</v>
      </c>
      <c r="L15" s="311"/>
      <c r="M15" s="24">
        <f>L15-C15</f>
        <v>0</v>
      </c>
    </row>
    <row r="16" spans="1:13" ht="25.5" customHeight="1" hidden="1">
      <c r="A16" s="60" t="s">
        <v>273</v>
      </c>
      <c r="B16" s="48" t="s">
        <v>279</v>
      </c>
      <c r="C16" s="27">
        <f>D16+E16+F16+G16</f>
        <v>0</v>
      </c>
      <c r="D16" s="27"/>
      <c r="E16" s="27"/>
      <c r="F16" s="27"/>
      <c r="G16" s="27"/>
      <c r="H16" s="27"/>
      <c r="I16" s="27"/>
      <c r="J16" s="27"/>
      <c r="K16" s="61">
        <f t="shared" si="1"/>
        <v>0</v>
      </c>
      <c r="L16" s="311"/>
      <c r="M16" s="24">
        <f>L16-C16</f>
        <v>0</v>
      </c>
    </row>
    <row r="17" spans="1:13" s="18" customFormat="1" ht="18.75" customHeight="1">
      <c r="A17" s="58" t="s">
        <v>280</v>
      </c>
      <c r="B17" s="62" t="s">
        <v>281</v>
      </c>
      <c r="C17" s="63">
        <f>D17+E17+F17+G17</f>
        <v>271115.30000000005</v>
      </c>
      <c r="D17" s="63">
        <f>89139.6+4012.9+355.1+749.3+128.1+9045.1</f>
        <v>103430.10000000002</v>
      </c>
      <c r="E17" s="63">
        <v>25612.1</v>
      </c>
      <c r="F17" s="63">
        <f>45+111379.1-153.9+132.8+6600+1452.7+98.6+128.5+98.9+271.2+67.6+46.4+7.3+5000+3274.2+8469.6+5155.1</f>
        <v>142073.1</v>
      </c>
      <c r="G17" s="63"/>
      <c r="H17" s="63">
        <v>8785.1</v>
      </c>
      <c r="I17" s="63"/>
      <c r="J17" s="63"/>
      <c r="K17" s="64">
        <f t="shared" si="1"/>
        <v>279900.4</v>
      </c>
      <c r="L17" s="312">
        <f>265960.2</f>
        <v>265960.2</v>
      </c>
      <c r="M17" s="24">
        <f>L17-C17</f>
        <v>-5155.100000000035</v>
      </c>
    </row>
    <row r="18" spans="1:13" s="18" customFormat="1" ht="14.25" customHeight="1">
      <c r="A18" s="58"/>
      <c r="B18" s="150" t="s">
        <v>179</v>
      </c>
      <c r="C18" s="151"/>
      <c r="D18" s="151"/>
      <c r="E18" s="151"/>
      <c r="F18" s="151"/>
      <c r="G18" s="151"/>
      <c r="H18" s="151"/>
      <c r="I18" s="151"/>
      <c r="J18" s="151"/>
      <c r="K18" s="152"/>
      <c r="L18" s="312"/>
      <c r="M18" s="24"/>
    </row>
    <row r="19" spans="1:59" ht="38.25" customHeight="1">
      <c r="A19" s="60"/>
      <c r="B19" s="21" t="s">
        <v>537</v>
      </c>
      <c r="C19" s="27">
        <f>D19+E19+F19</f>
        <v>4344.6</v>
      </c>
      <c r="D19" s="22"/>
      <c r="E19" s="22"/>
      <c r="F19" s="22">
        <v>4344.6</v>
      </c>
      <c r="G19" s="22"/>
      <c r="H19" s="22"/>
      <c r="I19" s="22"/>
      <c r="J19" s="22"/>
      <c r="K19" s="69">
        <f>C19+H19</f>
        <v>4344.6</v>
      </c>
      <c r="L19" s="313"/>
      <c r="M19" s="2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ht="42.75" customHeight="1">
      <c r="A20" s="60"/>
      <c r="B20" s="21" t="s">
        <v>539</v>
      </c>
      <c r="C20" s="27">
        <f>D20+E20+F20</f>
        <v>0</v>
      </c>
      <c r="D20" s="22"/>
      <c r="E20" s="22"/>
      <c r="F20" s="22"/>
      <c r="G20" s="22"/>
      <c r="H20" s="22">
        <v>1605.5</v>
      </c>
      <c r="I20" s="22"/>
      <c r="J20" s="22"/>
      <c r="K20" s="69">
        <f>C20+H20</f>
        <v>1605.5</v>
      </c>
      <c r="L20" s="313"/>
      <c r="M20" s="2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ht="72.75" customHeight="1">
      <c r="A21" s="60" t="s">
        <v>214</v>
      </c>
      <c r="B21" s="21" t="s">
        <v>213</v>
      </c>
      <c r="C21" s="27">
        <f>D21+E21+F21+G21</f>
        <v>3105.5</v>
      </c>
      <c r="D21" s="22"/>
      <c r="E21" s="22"/>
      <c r="F21" s="22">
        <f>2486.6+188.6+415.5+14.8</f>
        <v>3105.5</v>
      </c>
      <c r="G21" s="22"/>
      <c r="H21" s="22"/>
      <c r="I21" s="22"/>
      <c r="J21" s="22"/>
      <c r="K21" s="69">
        <f>C21+H21</f>
        <v>3105.5</v>
      </c>
      <c r="L21" s="313"/>
      <c r="M21" s="2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</row>
    <row r="22" spans="1:13" s="18" customFormat="1" ht="51" hidden="1">
      <c r="A22" s="58"/>
      <c r="B22" s="37" t="s">
        <v>189</v>
      </c>
      <c r="C22" s="27">
        <f>D22+E22+F22+G22</f>
        <v>0</v>
      </c>
      <c r="D22" s="27"/>
      <c r="E22" s="27"/>
      <c r="F22" s="27"/>
      <c r="G22" s="22"/>
      <c r="H22" s="22"/>
      <c r="I22" s="22"/>
      <c r="J22" s="22"/>
      <c r="K22" s="69">
        <f>C22+H22</f>
        <v>0</v>
      </c>
      <c r="L22" s="312"/>
      <c r="M22" s="24">
        <f>L22-C22</f>
        <v>0</v>
      </c>
    </row>
    <row r="23" spans="1:13" s="18" customFormat="1" ht="16.5" customHeight="1">
      <c r="A23" s="58" t="s">
        <v>282</v>
      </c>
      <c r="B23" s="62" t="s">
        <v>283</v>
      </c>
      <c r="C23" s="63">
        <f>D23+E23+F23+G23</f>
        <v>585504.9</v>
      </c>
      <c r="D23" s="63">
        <f>209471.9+12218.9+28.3+18667.6</f>
        <v>240386.69999999998</v>
      </c>
      <c r="E23" s="63">
        <v>52026.4</v>
      </c>
      <c r="F23" s="63">
        <f>49.8+225947+23124+5000+4423.2+10.2+6757.7+17479.9+10300</f>
        <v>293091.80000000005</v>
      </c>
      <c r="G23" s="63"/>
      <c r="H23" s="63">
        <v>19008.5</v>
      </c>
      <c r="I23" s="147">
        <f>10000-10000</f>
        <v>0</v>
      </c>
      <c r="J23" s="147"/>
      <c r="K23" s="64">
        <f t="shared" si="1"/>
        <v>604513.4</v>
      </c>
      <c r="L23" s="314">
        <f>575204.9</f>
        <v>575204.9</v>
      </c>
      <c r="M23" s="24">
        <f>L23-C23</f>
        <v>-10300</v>
      </c>
    </row>
    <row r="24" spans="1:13" s="18" customFormat="1" ht="13.5" customHeight="1">
      <c r="A24" s="58"/>
      <c r="B24" s="150" t="s">
        <v>179</v>
      </c>
      <c r="C24" s="337"/>
      <c r="D24" s="63"/>
      <c r="E24" s="63"/>
      <c r="F24" s="63"/>
      <c r="G24" s="63"/>
      <c r="H24" s="63"/>
      <c r="I24" s="147"/>
      <c r="J24" s="147"/>
      <c r="K24" s="64"/>
      <c r="L24" s="314"/>
      <c r="M24" s="24"/>
    </row>
    <row r="25" spans="1:13" s="18" customFormat="1" ht="56.25" customHeight="1">
      <c r="A25" s="60" t="s">
        <v>79</v>
      </c>
      <c r="B25" s="37" t="s">
        <v>90</v>
      </c>
      <c r="C25" s="27">
        <v>20000</v>
      </c>
      <c r="D25" s="22"/>
      <c r="E25" s="22"/>
      <c r="F25" s="22">
        <v>20000</v>
      </c>
      <c r="G25" s="22"/>
      <c r="H25" s="22"/>
      <c r="I25" s="22"/>
      <c r="J25" s="22"/>
      <c r="K25" s="69">
        <f>H25+C25</f>
        <v>20000</v>
      </c>
      <c r="L25" s="314"/>
      <c r="M25" s="24"/>
    </row>
    <row r="26" spans="1:13" s="18" customFormat="1" ht="66" customHeight="1">
      <c r="A26" s="60" t="s">
        <v>79</v>
      </c>
      <c r="B26" s="37" t="s">
        <v>88</v>
      </c>
      <c r="C26" s="27">
        <v>1970.1</v>
      </c>
      <c r="D26" s="22"/>
      <c r="E26" s="22"/>
      <c r="F26" s="22">
        <v>1970.1</v>
      </c>
      <c r="G26" s="22"/>
      <c r="H26" s="22"/>
      <c r="I26" s="22"/>
      <c r="J26" s="22"/>
      <c r="K26" s="69">
        <f>H26+C26</f>
        <v>1970.1</v>
      </c>
      <c r="L26" s="314"/>
      <c r="M26" s="24"/>
    </row>
    <row r="27" spans="1:13" s="18" customFormat="1" ht="69.75" customHeight="1">
      <c r="A27" s="60" t="s">
        <v>79</v>
      </c>
      <c r="B27" s="37" t="s">
        <v>89</v>
      </c>
      <c r="C27" s="27">
        <v>0</v>
      </c>
      <c r="D27" s="22"/>
      <c r="E27" s="22"/>
      <c r="F27" s="22"/>
      <c r="G27" s="22"/>
      <c r="H27" s="22">
        <v>2968.5</v>
      </c>
      <c r="I27" s="22"/>
      <c r="J27" s="22"/>
      <c r="K27" s="69">
        <f>H27+C27</f>
        <v>2968.5</v>
      </c>
      <c r="L27" s="314"/>
      <c r="M27" s="24"/>
    </row>
    <row r="28" spans="1:59" ht="75" customHeight="1">
      <c r="A28" s="60" t="s">
        <v>346</v>
      </c>
      <c r="B28" s="21" t="s">
        <v>213</v>
      </c>
      <c r="C28" s="27">
        <f>D28+E28+F28</f>
        <v>49.8</v>
      </c>
      <c r="D28" s="22"/>
      <c r="E28" s="22"/>
      <c r="F28" s="22">
        <f>49.8</f>
        <v>49.8</v>
      </c>
      <c r="G28" s="22"/>
      <c r="H28" s="22"/>
      <c r="I28" s="22"/>
      <c r="J28" s="22"/>
      <c r="K28" s="69">
        <f>C28+H28</f>
        <v>49.8</v>
      </c>
      <c r="L28" s="313"/>
      <c r="M28" s="24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1:13" s="18" customFormat="1" ht="17.25" customHeight="1">
      <c r="A29" s="58" t="s">
        <v>288</v>
      </c>
      <c r="B29" s="62" t="s">
        <v>289</v>
      </c>
      <c r="C29" s="63">
        <f>C32+C33+C34+C36+C40+C41+C43+C44+C45+C47+C48+C49+C50+C52+C51+C54+C55+C56+C57+C58+C37+C38+C42+C59+C64+C39+C30+C53+C60+C61</f>
        <v>129814.59999999999</v>
      </c>
      <c r="D29" s="63">
        <f>D30+D32+D34+D36+D37+D38+D40+D43+D44+D45+D47+D48+D49+D50+D51+D52+D53+D54+D55+D56+D58+D59+D60+D61</f>
        <v>38217.399999999994</v>
      </c>
      <c r="E29" s="63">
        <f>E32+E33+E34+E36+E40+E41+E43+E44+E45+E47+E48+E49+E50+E52+E51+E54+E55+E56+E57+E58+E37+E38+E42+E59+E64+E39+E30</f>
        <v>15063.000000000002</v>
      </c>
      <c r="F29" s="63">
        <f>F32+F33+F34+F36+F40+F41+F43+F44+F45+F47+F48+F49+F50+F52+F51+F54+F55+F56+F57+F58+F37+F38+F42+F59+F64+F39+F30+F53+F60+F61</f>
        <v>74369.9</v>
      </c>
      <c r="G29" s="63">
        <f>G32+G33+G34+G36+G40+G41+G43+G44+G45+G47+G48+G49+G50+G52+G51+G54+G55+G56+G57+G58+G37+G38+G42+G59+G64+G39</f>
        <v>2164.3</v>
      </c>
      <c r="H29" s="63">
        <f>H32+H33+H34+H36+H40+H41+H43+H44+H45+H47+H48+H49+H50+H52+H51+H54+H55+H56+H57+H58+H37+H38+H42+H59+H64+H39</f>
        <v>19866.299999999996</v>
      </c>
      <c r="I29" s="63">
        <f>I32+I33+I34+I36+I40+I41+I43+I44+I45+I47+I48+I49+I50+I52+I51+I54+I55+I56+I57+I58+I37+I38+I42+I59+I64+I39</f>
        <v>0</v>
      </c>
      <c r="J29" s="63">
        <f>J32+J33+J34+J36+J40+J41+J43+J44+J45+J47+J48+J49+J50+J52+J51+J54+J55+J56+J57+J58+J37+J38+J42+J59+J64+J39</f>
        <v>0</v>
      </c>
      <c r="K29" s="64">
        <f>K32+K33+K34+K36+K40+K41+K43+K44+K45+K47+K48+K49+K50+K52+K51+K54+K55+K56+K57+K58+K37+K38+K42+K59+K64+K39+K30+K53+K60+K61</f>
        <v>149680.90000000002</v>
      </c>
      <c r="L29" s="314">
        <f>127214.6</f>
        <v>127214.6</v>
      </c>
      <c r="M29" s="24">
        <f>L29-C29</f>
        <v>-2599.9999999999854</v>
      </c>
    </row>
    <row r="30" spans="1:13" s="18" customFormat="1" ht="31.5" customHeight="1">
      <c r="A30" s="60" t="s">
        <v>69</v>
      </c>
      <c r="B30" s="176" t="s">
        <v>70</v>
      </c>
      <c r="C30" s="27">
        <f>D30+E30+F30</f>
        <v>2221.7</v>
      </c>
      <c r="D30" s="149"/>
      <c r="E30" s="149"/>
      <c r="F30" s="27">
        <v>2221.7</v>
      </c>
      <c r="G30" s="149"/>
      <c r="H30" s="149"/>
      <c r="I30" s="149"/>
      <c r="J30" s="149"/>
      <c r="K30" s="61">
        <f t="shared" si="1"/>
        <v>2221.7</v>
      </c>
      <c r="L30" s="314"/>
      <c r="M30" s="24"/>
    </row>
    <row r="31" spans="1:13" s="18" customFormat="1" ht="17.25" customHeight="1" hidden="1">
      <c r="A31" s="60" t="s">
        <v>71</v>
      </c>
      <c r="B31" s="176"/>
      <c r="C31" s="27">
        <f>D31+E31+F31</f>
        <v>0</v>
      </c>
      <c r="D31" s="149"/>
      <c r="E31" s="149"/>
      <c r="F31" s="149"/>
      <c r="G31" s="149"/>
      <c r="H31" s="149"/>
      <c r="I31" s="149"/>
      <c r="J31" s="149"/>
      <c r="K31" s="61">
        <f t="shared" si="1"/>
        <v>0</v>
      </c>
      <c r="L31" s="314"/>
      <c r="M31" s="24"/>
    </row>
    <row r="32" spans="1:13" ht="12.75">
      <c r="A32" s="60" t="s">
        <v>290</v>
      </c>
      <c r="B32" s="17" t="s">
        <v>291</v>
      </c>
      <c r="C32" s="27">
        <f>D32+E32+F32</f>
        <v>0.6</v>
      </c>
      <c r="D32" s="27"/>
      <c r="E32" s="27"/>
      <c r="F32" s="27">
        <v>0.6</v>
      </c>
      <c r="G32" s="27"/>
      <c r="H32" s="27"/>
      <c r="I32" s="27"/>
      <c r="J32" s="27"/>
      <c r="K32" s="61">
        <f t="shared" si="1"/>
        <v>0.6</v>
      </c>
      <c r="L32" s="311"/>
      <c r="M32" s="24"/>
    </row>
    <row r="33" spans="1:13" ht="25.5" hidden="1">
      <c r="A33" s="60" t="s">
        <v>411</v>
      </c>
      <c r="B33" s="17" t="s">
        <v>610</v>
      </c>
      <c r="C33" s="27">
        <f>D33+E33+F33</f>
        <v>0</v>
      </c>
      <c r="D33" s="27"/>
      <c r="E33" s="27"/>
      <c r="F33" s="27"/>
      <c r="G33" s="27"/>
      <c r="H33" s="27"/>
      <c r="I33" s="27"/>
      <c r="J33" s="27"/>
      <c r="K33" s="61">
        <f t="shared" si="1"/>
        <v>0</v>
      </c>
      <c r="L33" s="311"/>
      <c r="M33" s="24"/>
    </row>
    <row r="34" spans="1:13" ht="15" customHeight="1">
      <c r="A34" s="60" t="s">
        <v>292</v>
      </c>
      <c r="B34" s="17" t="s">
        <v>293</v>
      </c>
      <c r="C34" s="27">
        <f>D34+E34+F34+G34</f>
        <v>3040.8999999999996</v>
      </c>
      <c r="D34" s="27"/>
      <c r="E34" s="27"/>
      <c r="F34" s="27">
        <f>36+4165.9+715-1930.9+27.9+2046.5-2019.5</f>
        <v>3040.8999999999996</v>
      </c>
      <c r="G34" s="27"/>
      <c r="H34" s="27">
        <v>5</v>
      </c>
      <c r="I34" s="27"/>
      <c r="J34" s="27"/>
      <c r="K34" s="61">
        <f t="shared" si="1"/>
        <v>3045.8999999999996</v>
      </c>
      <c r="L34" s="311"/>
      <c r="M34" s="24"/>
    </row>
    <row r="35" spans="1:13" ht="15" customHeight="1" hidden="1">
      <c r="A35" s="60"/>
      <c r="B35" s="17" t="s">
        <v>72</v>
      </c>
      <c r="C35" s="27">
        <f>D35+E35+F35+G35</f>
        <v>0</v>
      </c>
      <c r="D35" s="27"/>
      <c r="E35" s="27"/>
      <c r="F35" s="27"/>
      <c r="G35" s="27"/>
      <c r="H35" s="27"/>
      <c r="I35" s="27"/>
      <c r="J35" s="27"/>
      <c r="K35" s="61">
        <f>C35+H35</f>
        <v>0</v>
      </c>
      <c r="L35" s="311"/>
      <c r="M35" s="24"/>
    </row>
    <row r="36" spans="1:13" ht="27" customHeight="1">
      <c r="A36" s="60" t="s">
        <v>294</v>
      </c>
      <c r="B36" s="17" t="s">
        <v>295</v>
      </c>
      <c r="C36" s="27">
        <f aca="true" t="shared" si="3" ref="C36:C42">D36+E36+F36</f>
        <v>621.2</v>
      </c>
      <c r="D36" s="27"/>
      <c r="E36" s="27"/>
      <c r="F36" s="27">
        <v>621.2</v>
      </c>
      <c r="G36" s="27"/>
      <c r="H36" s="27"/>
      <c r="I36" s="27"/>
      <c r="J36" s="27"/>
      <c r="K36" s="61">
        <f t="shared" si="1"/>
        <v>621.2</v>
      </c>
      <c r="L36" s="311"/>
      <c r="M36" s="24"/>
    </row>
    <row r="37" spans="1:13" ht="26.25" customHeight="1">
      <c r="A37" s="60" t="s">
        <v>611</v>
      </c>
      <c r="B37" s="17" t="s">
        <v>612</v>
      </c>
      <c r="C37" s="27">
        <f t="shared" si="3"/>
        <v>1259.6</v>
      </c>
      <c r="D37" s="27"/>
      <c r="E37" s="27"/>
      <c r="F37" s="27">
        <v>1259.6</v>
      </c>
      <c r="G37" s="27"/>
      <c r="H37" s="27"/>
      <c r="I37" s="27"/>
      <c r="J37" s="27"/>
      <c r="K37" s="61">
        <f t="shared" si="1"/>
        <v>1259.6</v>
      </c>
      <c r="L37" s="311"/>
      <c r="M37" s="24"/>
    </row>
    <row r="38" spans="1:13" ht="14.25" customHeight="1">
      <c r="A38" s="60" t="s">
        <v>150</v>
      </c>
      <c r="B38" s="17" t="s">
        <v>151</v>
      </c>
      <c r="C38" s="27">
        <f t="shared" si="3"/>
        <v>1261</v>
      </c>
      <c r="D38" s="27"/>
      <c r="E38" s="27"/>
      <c r="F38" s="27">
        <v>1261</v>
      </c>
      <c r="G38" s="27"/>
      <c r="H38" s="27"/>
      <c r="I38" s="27"/>
      <c r="J38" s="27"/>
      <c r="K38" s="61">
        <f t="shared" si="1"/>
        <v>1261</v>
      </c>
      <c r="L38" s="311"/>
      <c r="M38" s="24"/>
    </row>
    <row r="39" spans="1:13" ht="28.5" customHeight="1" hidden="1">
      <c r="A39" s="60"/>
      <c r="B39" s="17" t="s">
        <v>196</v>
      </c>
      <c r="C39" s="27">
        <f>D39+E39+F39</f>
        <v>0</v>
      </c>
      <c r="D39" s="27"/>
      <c r="E39" s="27"/>
      <c r="F39" s="27"/>
      <c r="G39" s="27"/>
      <c r="H39" s="27"/>
      <c r="I39" s="27"/>
      <c r="J39" s="27"/>
      <c r="K39" s="61">
        <f>C39+H39</f>
        <v>0</v>
      </c>
      <c r="L39" s="311"/>
      <c r="M39" s="24"/>
    </row>
    <row r="40" spans="1:13" ht="12.75">
      <c r="A40" s="60" t="s">
        <v>613</v>
      </c>
      <c r="B40" s="17" t="s">
        <v>614</v>
      </c>
      <c r="C40" s="27">
        <f t="shared" si="3"/>
        <v>15678</v>
      </c>
      <c r="D40" s="27">
        <f>5615.2+393.6+471+55</f>
        <v>6534.8</v>
      </c>
      <c r="E40" s="27">
        <v>1870.5</v>
      </c>
      <c r="F40" s="27">
        <f>5979.8+360+142.5+170.5+619.9</f>
        <v>7272.7</v>
      </c>
      <c r="G40" s="27"/>
      <c r="H40" s="27">
        <v>1725.6</v>
      </c>
      <c r="I40" s="27"/>
      <c r="J40" s="27"/>
      <c r="K40" s="61">
        <f t="shared" si="1"/>
        <v>17403.6</v>
      </c>
      <c r="L40" s="311"/>
      <c r="M40" s="24"/>
    </row>
    <row r="41" spans="1:13" ht="12.75" hidden="1">
      <c r="A41" s="60" t="s">
        <v>300</v>
      </c>
      <c r="B41" s="17" t="s">
        <v>301</v>
      </c>
      <c r="C41" s="27">
        <f t="shared" si="3"/>
        <v>0</v>
      </c>
      <c r="D41" s="27"/>
      <c r="E41" s="27"/>
      <c r="F41" s="27"/>
      <c r="G41" s="27"/>
      <c r="H41" s="27"/>
      <c r="I41" s="27"/>
      <c r="J41" s="27"/>
      <c r="K41" s="61">
        <f t="shared" si="1"/>
        <v>0</v>
      </c>
      <c r="L41" s="311"/>
      <c r="M41" s="24"/>
    </row>
    <row r="42" spans="1:13" ht="12.75" hidden="1">
      <c r="A42" s="134" t="s">
        <v>225</v>
      </c>
      <c r="B42" s="132" t="s">
        <v>224</v>
      </c>
      <c r="C42" s="27">
        <f t="shared" si="3"/>
        <v>0</v>
      </c>
      <c r="D42" s="27"/>
      <c r="E42" s="27"/>
      <c r="F42" s="27"/>
      <c r="G42" s="27"/>
      <c r="H42" s="27"/>
      <c r="I42" s="27"/>
      <c r="J42" s="27"/>
      <c r="K42" s="61">
        <f t="shared" si="1"/>
        <v>0</v>
      </c>
      <c r="L42" s="311"/>
      <c r="M42" s="24"/>
    </row>
    <row r="43" spans="1:13" ht="25.5">
      <c r="A43" s="60" t="s">
        <v>615</v>
      </c>
      <c r="B43" s="17" t="s">
        <v>616</v>
      </c>
      <c r="C43" s="27">
        <f>D43+E43+F43+G43</f>
        <v>78791.79999999999</v>
      </c>
      <c r="D43" s="27">
        <f>24461.3+1574.7+1506+341.1</f>
        <v>27883.1</v>
      </c>
      <c r="E43" s="27">
        <v>12709.6</v>
      </c>
      <c r="F43" s="27">
        <f>31020.4+2540+570+545.2+3523.5</f>
        <v>38199.1</v>
      </c>
      <c r="G43" s="27"/>
      <c r="H43" s="27">
        <v>17641.1</v>
      </c>
      <c r="I43" s="27"/>
      <c r="J43" s="27"/>
      <c r="K43" s="61">
        <f t="shared" si="1"/>
        <v>96432.9</v>
      </c>
      <c r="L43" s="311"/>
      <c r="M43" s="24"/>
    </row>
    <row r="44" spans="1:13" ht="13.5" customHeight="1">
      <c r="A44" s="60" t="s">
        <v>617</v>
      </c>
      <c r="B44" s="17" t="s">
        <v>618</v>
      </c>
      <c r="C44" s="27">
        <f aca="true" t="shared" si="4" ref="C44:C61">D44+E44+F44</f>
        <v>787.3</v>
      </c>
      <c r="D44" s="27">
        <f>402.3+25.3+47</f>
        <v>474.6</v>
      </c>
      <c r="E44" s="27">
        <v>16.2</v>
      </c>
      <c r="F44" s="27">
        <f>270.3+9.2+17</f>
        <v>296.5</v>
      </c>
      <c r="G44" s="27"/>
      <c r="H44" s="27"/>
      <c r="I44" s="27"/>
      <c r="J44" s="27"/>
      <c r="K44" s="61">
        <f t="shared" si="1"/>
        <v>787.3</v>
      </c>
      <c r="L44" s="311"/>
      <c r="M44" s="24"/>
    </row>
    <row r="45" spans="1:13" ht="25.5">
      <c r="A45" s="60" t="s">
        <v>619</v>
      </c>
      <c r="B45" s="17" t="s">
        <v>620</v>
      </c>
      <c r="C45" s="27">
        <f>D45+E45+F45+G45</f>
        <v>179</v>
      </c>
      <c r="D45" s="27"/>
      <c r="E45" s="27"/>
      <c r="F45" s="27">
        <f>2548.1-2369.1</f>
        <v>179</v>
      </c>
      <c r="G45" s="27"/>
      <c r="H45" s="27"/>
      <c r="I45" s="27"/>
      <c r="J45" s="27"/>
      <c r="K45" s="61">
        <f t="shared" si="1"/>
        <v>179</v>
      </c>
      <c r="L45" s="311"/>
      <c r="M45" s="24"/>
    </row>
    <row r="46" spans="1:13" ht="25.5" hidden="1">
      <c r="A46" s="60"/>
      <c r="B46" s="17" t="s">
        <v>60</v>
      </c>
      <c r="C46" s="27">
        <f>D46+E46+F46+G46</f>
        <v>0</v>
      </c>
      <c r="D46" s="27"/>
      <c r="E46" s="27"/>
      <c r="F46" s="27"/>
      <c r="G46" s="27"/>
      <c r="H46" s="27"/>
      <c r="I46" s="27"/>
      <c r="J46" s="27"/>
      <c r="K46" s="61">
        <f t="shared" si="1"/>
        <v>0</v>
      </c>
      <c r="L46" s="311"/>
      <c r="M46" s="24"/>
    </row>
    <row r="47" spans="1:13" ht="25.5">
      <c r="A47" s="60" t="s">
        <v>621</v>
      </c>
      <c r="B47" s="17" t="s">
        <v>137</v>
      </c>
      <c r="C47" s="27">
        <f t="shared" si="4"/>
        <v>1337.6000000000001</v>
      </c>
      <c r="D47" s="27"/>
      <c r="E47" s="27"/>
      <c r="F47" s="27">
        <f>800+78+40+358.4+136.2-75</f>
        <v>1337.6000000000001</v>
      </c>
      <c r="G47" s="27"/>
      <c r="H47" s="27"/>
      <c r="I47" s="27"/>
      <c r="J47" s="27"/>
      <c r="K47" s="61">
        <f t="shared" si="1"/>
        <v>1337.6000000000001</v>
      </c>
      <c r="L47" s="311"/>
      <c r="M47" s="24"/>
    </row>
    <row r="48" spans="1:13" ht="25.5">
      <c r="A48" s="60" t="s">
        <v>622</v>
      </c>
      <c r="B48" s="17" t="s">
        <v>623</v>
      </c>
      <c r="C48" s="27">
        <f t="shared" si="4"/>
        <v>60</v>
      </c>
      <c r="D48" s="27"/>
      <c r="E48" s="27"/>
      <c r="F48" s="27">
        <v>60</v>
      </c>
      <c r="G48" s="27"/>
      <c r="H48" s="27"/>
      <c r="I48" s="27"/>
      <c r="J48" s="27"/>
      <c r="K48" s="61">
        <f t="shared" si="1"/>
        <v>60</v>
      </c>
      <c r="L48" s="311"/>
      <c r="M48" s="24"/>
    </row>
    <row r="49" spans="1:13" ht="12.75">
      <c r="A49" s="60" t="s">
        <v>624</v>
      </c>
      <c r="B49" s="17" t="s">
        <v>625</v>
      </c>
      <c r="C49" s="27">
        <f t="shared" si="4"/>
        <v>1366.1</v>
      </c>
      <c r="D49" s="27">
        <f>369.8+15.8+43.7+50.9</f>
        <v>480.2</v>
      </c>
      <c r="E49" s="27">
        <f>66.8+3.1</f>
        <v>69.89999999999999</v>
      </c>
      <c r="F49" s="27">
        <f>773.5+5.7+15.8+21</f>
        <v>816</v>
      </c>
      <c r="G49" s="27"/>
      <c r="H49" s="27"/>
      <c r="I49" s="27"/>
      <c r="J49" s="27"/>
      <c r="K49" s="61">
        <f t="shared" si="1"/>
        <v>1366.1</v>
      </c>
      <c r="L49" s="311"/>
      <c r="M49" s="24"/>
    </row>
    <row r="50" spans="1:13" ht="12.75">
      <c r="A50" s="60" t="s">
        <v>626</v>
      </c>
      <c r="B50" s="17" t="s">
        <v>627</v>
      </c>
      <c r="C50" s="27">
        <f>D50+E50+F50+G50</f>
        <v>1641.3999999999999</v>
      </c>
      <c r="D50" s="27">
        <f>519.4+21.3+54.8</f>
        <v>595.4999999999999</v>
      </c>
      <c r="E50" s="27">
        <v>241.2</v>
      </c>
      <c r="F50" s="27">
        <f>777.2+7.7+19.8</f>
        <v>804.7</v>
      </c>
      <c r="G50" s="27"/>
      <c r="H50" s="27"/>
      <c r="I50" s="27"/>
      <c r="J50" s="27"/>
      <c r="K50" s="61">
        <f t="shared" si="1"/>
        <v>1641.3999999999999</v>
      </c>
      <c r="L50" s="311"/>
      <c r="M50" s="24"/>
    </row>
    <row r="51" spans="1:13" ht="25.5">
      <c r="A51" s="60" t="s">
        <v>628</v>
      </c>
      <c r="B51" s="17" t="s">
        <v>629</v>
      </c>
      <c r="C51" s="27">
        <f t="shared" si="4"/>
        <v>162</v>
      </c>
      <c r="D51" s="27"/>
      <c r="E51" s="27"/>
      <c r="F51" s="27">
        <f>60+102</f>
        <v>162</v>
      </c>
      <c r="G51" s="27"/>
      <c r="H51" s="27"/>
      <c r="I51" s="27"/>
      <c r="J51" s="27"/>
      <c r="K51" s="61">
        <f t="shared" si="1"/>
        <v>162</v>
      </c>
      <c r="L51" s="311"/>
      <c r="M51" s="24"/>
    </row>
    <row r="52" spans="1:13" ht="57" customHeight="1">
      <c r="A52" s="60" t="s">
        <v>61</v>
      </c>
      <c r="B52" s="21" t="s">
        <v>63</v>
      </c>
      <c r="C52" s="27">
        <f>D52+E52+F52+G52</f>
        <v>10362.3</v>
      </c>
      <c r="D52" s="27"/>
      <c r="E52" s="27"/>
      <c r="F52" s="27">
        <f>3715.6+4482.4</f>
        <v>8198</v>
      </c>
      <c r="G52" s="27">
        <f>2168.3-20+16</f>
        <v>2164.3</v>
      </c>
      <c r="H52" s="27"/>
      <c r="I52" s="27"/>
      <c r="J52" s="27"/>
      <c r="K52" s="61">
        <f>C52+H52</f>
        <v>10362.3</v>
      </c>
      <c r="L52" s="311"/>
      <c r="M52" s="24"/>
    </row>
    <row r="53" spans="1:13" ht="25.5">
      <c r="A53" s="60" t="s">
        <v>639</v>
      </c>
      <c r="B53" s="21" t="s">
        <v>640</v>
      </c>
      <c r="C53" s="27">
        <f>D53+E53+F53</f>
        <v>2369.1</v>
      </c>
      <c r="D53" s="27"/>
      <c r="E53" s="27"/>
      <c r="F53" s="27">
        <v>2369.1</v>
      </c>
      <c r="G53" s="27"/>
      <c r="H53" s="27"/>
      <c r="I53" s="27"/>
      <c r="J53" s="27"/>
      <c r="K53" s="61">
        <f>C53+H53</f>
        <v>2369.1</v>
      </c>
      <c r="L53" s="311"/>
      <c r="M53" s="24"/>
    </row>
    <row r="54" spans="1:13" ht="65.25" customHeight="1">
      <c r="A54" s="60" t="s">
        <v>296</v>
      </c>
      <c r="B54" s="17" t="s">
        <v>631</v>
      </c>
      <c r="C54" s="27">
        <f t="shared" si="4"/>
        <v>1490.4</v>
      </c>
      <c r="D54" s="27"/>
      <c r="E54" s="27"/>
      <c r="F54" s="27">
        <v>1490.4</v>
      </c>
      <c r="G54" s="27"/>
      <c r="H54" s="27"/>
      <c r="I54" s="27"/>
      <c r="J54" s="27"/>
      <c r="K54" s="61">
        <f t="shared" si="1"/>
        <v>1490.4</v>
      </c>
      <c r="L54" s="311"/>
      <c r="M54" s="24"/>
    </row>
    <row r="55" spans="1:13" ht="25.5">
      <c r="A55" s="60" t="s">
        <v>297</v>
      </c>
      <c r="B55" s="17" t="s">
        <v>298</v>
      </c>
      <c r="C55" s="27">
        <f t="shared" si="4"/>
        <v>770.2</v>
      </c>
      <c r="D55" s="27"/>
      <c r="E55" s="27"/>
      <c r="F55" s="27">
        <f>748.1-27.9+50</f>
        <v>770.2</v>
      </c>
      <c r="G55" s="27"/>
      <c r="H55" s="27"/>
      <c r="I55" s="27"/>
      <c r="J55" s="27"/>
      <c r="K55" s="61">
        <f t="shared" si="1"/>
        <v>770.2</v>
      </c>
      <c r="L55" s="311"/>
      <c r="M55" s="24"/>
    </row>
    <row r="56" spans="1:13" ht="25.5">
      <c r="A56" s="60" t="s">
        <v>632</v>
      </c>
      <c r="B56" s="17" t="s">
        <v>633</v>
      </c>
      <c r="C56" s="27">
        <f t="shared" si="4"/>
        <v>54</v>
      </c>
      <c r="D56" s="27">
        <f>34.1+1+4.1</f>
        <v>39.2</v>
      </c>
      <c r="E56" s="27"/>
      <c r="F56" s="27">
        <f>12.9+0.4+1.5</f>
        <v>14.8</v>
      </c>
      <c r="G56" s="27"/>
      <c r="H56" s="27"/>
      <c r="I56" s="27"/>
      <c r="J56" s="27"/>
      <c r="K56" s="61">
        <f t="shared" si="1"/>
        <v>54</v>
      </c>
      <c r="L56" s="311"/>
      <c r="M56" s="24"/>
    </row>
    <row r="57" spans="1:13" ht="12.75" hidden="1">
      <c r="A57" s="60" t="s">
        <v>634</v>
      </c>
      <c r="B57" s="17" t="s">
        <v>644</v>
      </c>
      <c r="C57" s="27">
        <f t="shared" si="4"/>
        <v>0</v>
      </c>
      <c r="D57" s="27"/>
      <c r="E57" s="27"/>
      <c r="F57" s="27"/>
      <c r="G57" s="27"/>
      <c r="H57" s="27"/>
      <c r="I57" s="27"/>
      <c r="J57" s="27"/>
      <c r="K57" s="61">
        <f t="shared" si="1"/>
        <v>0</v>
      </c>
      <c r="L57" s="311"/>
      <c r="M57" s="24"/>
    </row>
    <row r="58" spans="1:13" ht="27.75" customHeight="1">
      <c r="A58" s="60" t="s">
        <v>299</v>
      </c>
      <c r="B58" s="21" t="s">
        <v>4</v>
      </c>
      <c r="C58" s="27">
        <f t="shared" si="4"/>
        <v>4427.5</v>
      </c>
      <c r="D58" s="27">
        <f>1975+8.5+204.4+22.1</f>
        <v>2210</v>
      </c>
      <c r="E58" s="27">
        <v>155.6</v>
      </c>
      <c r="F58" s="27">
        <f>1976.9+3.1+74+7.9</f>
        <v>2061.9</v>
      </c>
      <c r="G58" s="27"/>
      <c r="H58" s="27">
        <v>494.6</v>
      </c>
      <c r="I58" s="27"/>
      <c r="J58" s="27"/>
      <c r="K58" s="61">
        <f t="shared" si="1"/>
        <v>4922.1</v>
      </c>
      <c r="L58" s="311"/>
      <c r="M58" s="24"/>
    </row>
    <row r="59" spans="1:13" ht="68.25" customHeight="1">
      <c r="A59" s="60" t="s">
        <v>212</v>
      </c>
      <c r="B59" s="21" t="s">
        <v>213</v>
      </c>
      <c r="C59" s="27">
        <f t="shared" si="4"/>
        <v>2</v>
      </c>
      <c r="D59" s="27"/>
      <c r="E59" s="27"/>
      <c r="F59" s="27">
        <v>2</v>
      </c>
      <c r="G59" s="27"/>
      <c r="H59" s="27"/>
      <c r="I59" s="27"/>
      <c r="J59" s="27"/>
      <c r="K59" s="61">
        <f t="shared" si="1"/>
        <v>2</v>
      </c>
      <c r="L59" s="311"/>
      <c r="M59" s="24"/>
    </row>
    <row r="60" spans="1:13" ht="38.25">
      <c r="A60" s="60" t="s">
        <v>486</v>
      </c>
      <c r="B60" s="21" t="s">
        <v>538</v>
      </c>
      <c r="C60" s="27">
        <f t="shared" si="4"/>
        <v>850</v>
      </c>
      <c r="D60" s="27"/>
      <c r="E60" s="27"/>
      <c r="F60" s="27">
        <v>850</v>
      </c>
      <c r="G60" s="27"/>
      <c r="H60" s="27"/>
      <c r="I60" s="27"/>
      <c r="J60" s="27"/>
      <c r="K60" s="61">
        <f t="shared" si="1"/>
        <v>850</v>
      </c>
      <c r="L60" s="311"/>
      <c r="M60" s="24"/>
    </row>
    <row r="61" spans="1:13" ht="12.75">
      <c r="A61" s="60" t="s">
        <v>487</v>
      </c>
      <c r="B61" s="21" t="s">
        <v>525</v>
      </c>
      <c r="C61" s="27">
        <f t="shared" si="4"/>
        <v>1080.9</v>
      </c>
      <c r="D61" s="27"/>
      <c r="E61" s="27"/>
      <c r="F61" s="27">
        <v>1080.9</v>
      </c>
      <c r="G61" s="27"/>
      <c r="H61" s="27"/>
      <c r="I61" s="27"/>
      <c r="J61" s="27"/>
      <c r="K61" s="61">
        <f t="shared" si="1"/>
        <v>1080.9</v>
      </c>
      <c r="L61" s="311"/>
      <c r="M61" s="24"/>
    </row>
    <row r="62" spans="1:16" s="18" customFormat="1" ht="12.75">
      <c r="A62" s="58">
        <v>100000</v>
      </c>
      <c r="B62" s="23" t="s">
        <v>302</v>
      </c>
      <c r="C62" s="42">
        <f>D62+E62+F62+G62</f>
        <v>43646.579000000005</v>
      </c>
      <c r="D62" s="42"/>
      <c r="E62" s="42"/>
      <c r="F62" s="42">
        <f>11743+12000+514-290+F63-4000+9117.5-8400-300</f>
        <v>36535.8</v>
      </c>
      <c r="G62" s="42">
        <f>14493.95-13285.95+6299.879-19.6-377.5</f>
        <v>7110.7789999999995</v>
      </c>
      <c r="H62" s="42">
        <f>I62</f>
        <v>56285.2</v>
      </c>
      <c r="I62" s="42">
        <f>I63+14055.5</f>
        <v>56285.2</v>
      </c>
      <c r="J62" s="42"/>
      <c r="K62" s="59">
        <f>C62+H62</f>
        <v>99931.77900000001</v>
      </c>
      <c r="L62" s="312">
        <f>43626.2</f>
        <v>43626.2</v>
      </c>
      <c r="M62" s="24">
        <f>L62-C62</f>
        <v>-20.37900000000809</v>
      </c>
      <c r="N62" s="18">
        <f>18968.1+14055.5+9117.5-8400</f>
        <v>33741.1</v>
      </c>
      <c r="O62" s="18">
        <f>66887.8+N62</f>
        <v>100628.9</v>
      </c>
      <c r="P62" s="243">
        <f>O62-K62</f>
        <v>697.1209999999846</v>
      </c>
    </row>
    <row r="63" spans="1:13" s="18" customFormat="1" ht="12.75">
      <c r="A63" s="60" t="s">
        <v>58</v>
      </c>
      <c r="B63" s="17" t="s">
        <v>59</v>
      </c>
      <c r="C63" s="27">
        <f>F63</f>
        <v>16151.3</v>
      </c>
      <c r="D63" s="27"/>
      <c r="E63" s="27"/>
      <c r="F63" s="27">
        <f>16151.3</f>
        <v>16151.3</v>
      </c>
      <c r="G63" s="42"/>
      <c r="H63" s="27">
        <f>I63</f>
        <v>42229.7</v>
      </c>
      <c r="I63" s="27">
        <f>23261.6+18968.1</f>
        <v>42229.7</v>
      </c>
      <c r="J63" s="42"/>
      <c r="K63" s="61">
        <f>C63+H63</f>
        <v>58381</v>
      </c>
      <c r="L63" s="312"/>
      <c r="M63" s="24"/>
    </row>
    <row r="64" spans="1:13" s="18" customFormat="1" ht="51" hidden="1">
      <c r="A64" s="60"/>
      <c r="B64" s="21" t="s">
        <v>197</v>
      </c>
      <c r="C64" s="27">
        <f>D64+E64+F64</f>
        <v>0</v>
      </c>
      <c r="D64" s="27"/>
      <c r="E64" s="27"/>
      <c r="F64" s="27"/>
      <c r="G64" s="42"/>
      <c r="H64" s="42"/>
      <c r="I64" s="42"/>
      <c r="J64" s="42"/>
      <c r="K64" s="61">
        <f>H64+C64</f>
        <v>0</v>
      </c>
      <c r="L64" s="312"/>
      <c r="M64" s="24">
        <f>L64-C64</f>
        <v>0</v>
      </c>
    </row>
    <row r="65" spans="1:13" s="18" customFormat="1" ht="12.75" hidden="1">
      <c r="A65" s="58">
        <v>100000</v>
      </c>
      <c r="B65" s="23" t="s">
        <v>302</v>
      </c>
      <c r="C65" s="42">
        <f>D65+E65+F65+G65</f>
        <v>0</v>
      </c>
      <c r="D65" s="42"/>
      <c r="E65" s="42"/>
      <c r="F65" s="42">
        <f>F66</f>
        <v>0</v>
      </c>
      <c r="G65" s="42">
        <f>G66</f>
        <v>0</v>
      </c>
      <c r="H65" s="42">
        <f>H66</f>
        <v>0</v>
      </c>
      <c r="I65" s="42"/>
      <c r="J65" s="42"/>
      <c r="K65" s="59">
        <f>H65+C65</f>
        <v>0</v>
      </c>
      <c r="L65" s="312"/>
      <c r="M65" s="24">
        <f>L65-C65</f>
        <v>0</v>
      </c>
    </row>
    <row r="66" spans="1:13" s="18" customFormat="1" ht="38.25" hidden="1">
      <c r="A66" s="60"/>
      <c r="B66" s="17" t="s">
        <v>50</v>
      </c>
      <c r="C66" s="27">
        <f>D66+E66+F66+G66</f>
        <v>0</v>
      </c>
      <c r="D66" s="27"/>
      <c r="E66" s="27"/>
      <c r="F66" s="27"/>
      <c r="G66" s="42"/>
      <c r="H66" s="42"/>
      <c r="I66" s="42"/>
      <c r="J66" s="42"/>
      <c r="K66" s="61">
        <f>H66+C66</f>
        <v>0</v>
      </c>
      <c r="L66" s="312"/>
      <c r="M66" s="24">
        <f>L66-C66</f>
        <v>0</v>
      </c>
    </row>
    <row r="67" spans="1:13" s="18" customFormat="1" ht="15" customHeight="1">
      <c r="A67" s="65">
        <v>110000</v>
      </c>
      <c r="B67" s="23" t="s">
        <v>7</v>
      </c>
      <c r="C67" s="42">
        <f>D67+E67+F67+G67</f>
        <v>59573.40000000001</v>
      </c>
      <c r="D67" s="42">
        <f>4349.8+15+288.5+43.2+418.6</f>
        <v>5115.1</v>
      </c>
      <c r="E67" s="42">
        <v>1178.7</v>
      </c>
      <c r="F67" s="42">
        <f>37898+6924.3-2000+290+1000+5.4+104.4+1820.7+39.6+700+151.5+3138.9+2550+2000+1006.8-2550</f>
        <v>53079.600000000006</v>
      </c>
      <c r="G67" s="42">
        <f>G68+G69+G71</f>
        <v>200</v>
      </c>
      <c r="H67" s="42">
        <v>662.4</v>
      </c>
      <c r="I67" s="42"/>
      <c r="J67" s="42"/>
      <c r="K67" s="59">
        <f>C67+H67</f>
        <v>60235.80000000001</v>
      </c>
      <c r="L67" s="312">
        <f>59116.6</f>
        <v>59116.6</v>
      </c>
      <c r="M67" s="24">
        <f>L67-C67</f>
        <v>-456.8000000000102</v>
      </c>
    </row>
    <row r="68" spans="1:13" ht="15" customHeight="1">
      <c r="A68" s="66" t="s">
        <v>8</v>
      </c>
      <c r="B68" s="17" t="s">
        <v>9</v>
      </c>
      <c r="C68" s="27">
        <f>D68+E68+F68+G68</f>
        <v>29040.199999999997</v>
      </c>
      <c r="D68" s="27"/>
      <c r="E68" s="27"/>
      <c r="F68" s="27">
        <f>21535.4+2460-2000+1342.6+236.7+2308.3+2000+883.1+74.1</f>
        <v>28840.199999999997</v>
      </c>
      <c r="G68" s="27">
        <v>200</v>
      </c>
      <c r="H68" s="27"/>
      <c r="I68" s="27"/>
      <c r="J68" s="27"/>
      <c r="K68" s="61">
        <f>C68+H68</f>
        <v>29040.199999999997</v>
      </c>
      <c r="L68" s="311"/>
      <c r="M68" s="24"/>
    </row>
    <row r="69" spans="1:13" ht="25.5">
      <c r="A69" s="66" t="s">
        <v>10</v>
      </c>
      <c r="B69" s="17" t="s">
        <v>12</v>
      </c>
      <c r="C69" s="27">
        <f>D69+E69+F69+G69</f>
        <v>15365</v>
      </c>
      <c r="D69" s="27"/>
      <c r="E69" s="27">
        <v>10</v>
      </c>
      <c r="F69" s="27">
        <f>9436.9+3229.3+1000+459.9-316.7+700+796+123.7-74.1</f>
        <v>15355</v>
      </c>
      <c r="G69" s="27"/>
      <c r="H69" s="27"/>
      <c r="I69" s="27"/>
      <c r="J69" s="27"/>
      <c r="K69" s="61">
        <f t="shared" si="1"/>
        <v>15365</v>
      </c>
      <c r="L69" s="311"/>
      <c r="M69" s="24"/>
    </row>
    <row r="70" spans="1:13" ht="12.75">
      <c r="A70" s="66" t="s">
        <v>526</v>
      </c>
      <c r="B70" s="17" t="s">
        <v>527</v>
      </c>
      <c r="C70" s="27"/>
      <c r="D70" s="27"/>
      <c r="E70" s="27"/>
      <c r="F70" s="27"/>
      <c r="G70" s="27"/>
      <c r="H70" s="27">
        <v>40</v>
      </c>
      <c r="I70" s="27"/>
      <c r="J70" s="27"/>
      <c r="K70" s="61">
        <f t="shared" si="1"/>
        <v>40</v>
      </c>
      <c r="L70" s="311"/>
      <c r="M70" s="24"/>
    </row>
    <row r="71" spans="1:13" ht="12.75">
      <c r="A71" s="66">
        <v>110300</v>
      </c>
      <c r="B71" s="17" t="s">
        <v>303</v>
      </c>
      <c r="C71" s="27">
        <f>D71+E71+F71</f>
        <v>793.1</v>
      </c>
      <c r="D71" s="27"/>
      <c r="E71" s="27"/>
      <c r="F71" s="27">
        <f>560.3+100+18.2+80+34.6</f>
        <v>793.1</v>
      </c>
      <c r="G71" s="27"/>
      <c r="H71" s="27"/>
      <c r="I71" s="27"/>
      <c r="J71" s="27"/>
      <c r="K71" s="61">
        <f t="shared" si="1"/>
        <v>793.1</v>
      </c>
      <c r="L71" s="311"/>
      <c r="M71" s="24"/>
    </row>
    <row r="72" spans="1:13" s="18" customFormat="1" ht="12.75">
      <c r="A72" s="65">
        <v>120000</v>
      </c>
      <c r="B72" s="55" t="s">
        <v>304</v>
      </c>
      <c r="C72" s="42">
        <f>C74+C75+C73</f>
        <v>6644.4</v>
      </c>
      <c r="D72" s="135">
        <f>D74+D75</f>
        <v>0</v>
      </c>
      <c r="E72" s="135">
        <f>E74+E75</f>
        <v>0</v>
      </c>
      <c r="F72" s="42">
        <f>F74+F75+F73</f>
        <v>4274.4</v>
      </c>
      <c r="G72" s="42">
        <f>G74+G75</f>
        <v>2370</v>
      </c>
      <c r="H72" s="42"/>
      <c r="I72" s="42"/>
      <c r="J72" s="42"/>
      <c r="K72" s="59">
        <f>C72+H72</f>
        <v>6644.4</v>
      </c>
      <c r="L72" s="312">
        <f>6600</f>
        <v>6600</v>
      </c>
      <c r="M72" s="24">
        <f>L72-C72</f>
        <v>-44.399999999999636</v>
      </c>
    </row>
    <row r="73" spans="1:13" s="18" customFormat="1" ht="12.75">
      <c r="A73" s="66" t="s">
        <v>637</v>
      </c>
      <c r="B73" s="246" t="s">
        <v>638</v>
      </c>
      <c r="C73" s="27">
        <f>D73+E73+F73+G73</f>
        <v>1470</v>
      </c>
      <c r="D73" s="144"/>
      <c r="E73" s="144"/>
      <c r="F73" s="27">
        <f>1200+270</f>
        <v>1470</v>
      </c>
      <c r="G73" s="27"/>
      <c r="H73" s="27"/>
      <c r="I73" s="27"/>
      <c r="J73" s="27"/>
      <c r="K73" s="61">
        <f t="shared" si="1"/>
        <v>1470</v>
      </c>
      <c r="L73" s="312"/>
      <c r="M73" s="24"/>
    </row>
    <row r="74" spans="1:13" ht="12.75">
      <c r="A74" s="66">
        <v>120201</v>
      </c>
      <c r="B74" s="17" t="s">
        <v>305</v>
      </c>
      <c r="C74" s="27">
        <f>D74+E74+F74+G74</f>
        <v>4110</v>
      </c>
      <c r="D74" s="27"/>
      <c r="E74" s="27"/>
      <c r="F74" s="27">
        <v>1740</v>
      </c>
      <c r="G74" s="27">
        <f>2339+46-15</f>
        <v>2370</v>
      </c>
      <c r="H74" s="27"/>
      <c r="I74" s="27"/>
      <c r="J74" s="27"/>
      <c r="K74" s="61">
        <f t="shared" si="1"/>
        <v>4110</v>
      </c>
      <c r="L74" s="311"/>
      <c r="M74" s="24"/>
    </row>
    <row r="75" spans="1:13" ht="15" customHeight="1">
      <c r="A75" s="66">
        <v>120300</v>
      </c>
      <c r="B75" s="17" t="s">
        <v>306</v>
      </c>
      <c r="C75" s="27">
        <f>D75+E75+F75</f>
        <v>1064.4</v>
      </c>
      <c r="D75" s="27"/>
      <c r="E75" s="27"/>
      <c r="F75" s="27">
        <f>532.8+570-82.8+44.4</f>
        <v>1064.4</v>
      </c>
      <c r="G75" s="27"/>
      <c r="H75" s="27"/>
      <c r="I75" s="27"/>
      <c r="J75" s="27"/>
      <c r="K75" s="61">
        <f t="shared" si="1"/>
        <v>1064.4</v>
      </c>
      <c r="L75" s="311"/>
      <c r="M75" s="24"/>
    </row>
    <row r="76" spans="1:13" s="18" customFormat="1" ht="15" customHeight="1">
      <c r="A76" s="65">
        <v>130000</v>
      </c>
      <c r="B76" s="23" t="s">
        <v>307</v>
      </c>
      <c r="C76" s="42">
        <f>D76+E76+F76+G76</f>
        <v>53883.7</v>
      </c>
      <c r="D76" s="42">
        <f>5543.7+22.8+158.5+642.6</f>
        <v>6367.6</v>
      </c>
      <c r="E76" s="42">
        <v>243.7</v>
      </c>
      <c r="F76" s="42">
        <f>26319.1+F77+850+8.3+57.4+332.7+232.6+439.2+129.5</f>
        <v>47272.399999999994</v>
      </c>
      <c r="G76" s="42"/>
      <c r="H76" s="42"/>
      <c r="I76" s="42"/>
      <c r="J76" s="42"/>
      <c r="K76" s="59">
        <f t="shared" si="1"/>
        <v>53883.7</v>
      </c>
      <c r="L76" s="312">
        <f>53754.2</f>
        <v>53754.2</v>
      </c>
      <c r="M76" s="24">
        <f>L76-C76</f>
        <v>-129.5</v>
      </c>
    </row>
    <row r="77" spans="1:13" ht="15" customHeight="1">
      <c r="A77" s="66" t="s">
        <v>343</v>
      </c>
      <c r="B77" s="183" t="s">
        <v>344</v>
      </c>
      <c r="C77" s="27">
        <f>D77+E77+F77+G77</f>
        <v>18903.6</v>
      </c>
      <c r="D77" s="22"/>
      <c r="E77" s="22"/>
      <c r="F77" s="22">
        <f>F78+903.6</f>
        <v>18903.6</v>
      </c>
      <c r="G77" s="144"/>
      <c r="H77" s="27"/>
      <c r="I77" s="27"/>
      <c r="J77" s="27"/>
      <c r="K77" s="61">
        <f>C77+H77</f>
        <v>18903.6</v>
      </c>
      <c r="L77" s="311"/>
      <c r="M77" s="24"/>
    </row>
    <row r="78" spans="1:13" ht="30" customHeight="1">
      <c r="A78" s="66"/>
      <c r="B78" s="46" t="s">
        <v>345</v>
      </c>
      <c r="C78" s="27">
        <f>D78+E78+F78+G78</f>
        <v>18000</v>
      </c>
      <c r="D78" s="144"/>
      <c r="E78" s="144"/>
      <c r="F78" s="27">
        <f>10000+8000</f>
        <v>18000</v>
      </c>
      <c r="G78" s="144"/>
      <c r="H78" s="27"/>
      <c r="I78" s="27"/>
      <c r="J78" s="27"/>
      <c r="K78" s="61">
        <f>C78+H78</f>
        <v>18000</v>
      </c>
      <c r="L78" s="311"/>
      <c r="M78" s="24"/>
    </row>
    <row r="79" spans="1:16" s="18" customFormat="1" ht="15" customHeight="1">
      <c r="A79" s="65">
        <v>150000</v>
      </c>
      <c r="B79" s="23" t="s">
        <v>308</v>
      </c>
      <c r="C79" s="42">
        <f>D79+E79+F79</f>
        <v>32110.600000000002</v>
      </c>
      <c r="D79" s="42">
        <f>D81+D85+D86+D87+D83+D88</f>
        <v>0</v>
      </c>
      <c r="E79" s="42">
        <f>E81+E85+E86+E87+E83+E88</f>
        <v>0</v>
      </c>
      <c r="F79" s="42">
        <f>F81+F85+F86+F87+F83+F88+F91+F89+F90</f>
        <v>32110.600000000002</v>
      </c>
      <c r="G79" s="42">
        <f>G81+G85+G86+G87+G83+G88</f>
        <v>0</v>
      </c>
      <c r="H79" s="42">
        <f>H81+H85+H86+H87+H83+H88+H84+3800+6400-5400+22500+13720+20000+2000+5000-5000+2230+1600+74+H89+H90+7000-5000+10037.4+3800+26668+11000+19.6-1000+1902-4638.4</f>
        <v>299814.19999999995</v>
      </c>
      <c r="I79" s="42">
        <f>H79</f>
        <v>299814.19999999995</v>
      </c>
      <c r="J79" s="42">
        <f>J81+J85+J86+J87+J83+J88+J84+3800+6400-5400-1954.7</f>
        <v>2845.3</v>
      </c>
      <c r="K79" s="59">
        <f>H79+C79</f>
        <v>331924.79999999993</v>
      </c>
      <c r="L79" s="314">
        <f>31610.6</f>
        <v>31610.6</v>
      </c>
      <c r="M79" s="24">
        <f aca="true" t="shared" si="5" ref="M79:M141">L79-C79</f>
        <v>-500.00000000000364</v>
      </c>
      <c r="N79" s="18">
        <f>28570+11500-1000</f>
        <v>39070</v>
      </c>
      <c r="O79" s="18">
        <f>297473.6+N79</f>
        <v>336543.6</v>
      </c>
      <c r="P79" s="243">
        <f>O79-K79</f>
        <v>4618.800000000047</v>
      </c>
    </row>
    <row r="80" spans="1:13" s="18" customFormat="1" ht="15" customHeight="1">
      <c r="A80" s="66">
        <v>150101</v>
      </c>
      <c r="B80" s="17" t="s">
        <v>348</v>
      </c>
      <c r="C80" s="42"/>
      <c r="D80" s="42"/>
      <c r="E80" s="42"/>
      <c r="F80" s="42"/>
      <c r="G80" s="42"/>
      <c r="H80" s="27">
        <f>144800+22500+13720+20000+2000+5000-5000+2230+1600+74+7000-5000+10037.4+3800+26668+11000+19.6-1000+1902-4638.4</f>
        <v>256712.6</v>
      </c>
      <c r="I80" s="27">
        <f>H80</f>
        <v>256712.6</v>
      </c>
      <c r="J80" s="42"/>
      <c r="K80" s="61">
        <f>C80+H80</f>
        <v>256712.6</v>
      </c>
      <c r="L80" s="314"/>
      <c r="M80" s="24">
        <f t="shared" si="5"/>
        <v>0</v>
      </c>
    </row>
    <row r="81" spans="1:13" ht="57" customHeight="1">
      <c r="A81" s="66"/>
      <c r="B81" s="183" t="s">
        <v>533</v>
      </c>
      <c r="C81" s="144">
        <f aca="true" t="shared" si="6" ref="C81:C90">D81+E81+F81</f>
        <v>0</v>
      </c>
      <c r="D81" s="144"/>
      <c r="E81" s="144"/>
      <c r="F81" s="144"/>
      <c r="G81" s="144"/>
      <c r="H81" s="27">
        <f>140000</f>
        <v>140000</v>
      </c>
      <c r="I81" s="27">
        <f>H81</f>
        <v>140000</v>
      </c>
      <c r="J81" s="27"/>
      <c r="K81" s="61">
        <f>C81+H81</f>
        <v>140000</v>
      </c>
      <c r="L81" s="311"/>
      <c r="M81" s="24">
        <f t="shared" si="5"/>
        <v>0</v>
      </c>
    </row>
    <row r="82" spans="1:13" ht="38.25">
      <c r="A82" s="66"/>
      <c r="B82" s="183" t="s">
        <v>38</v>
      </c>
      <c r="C82" s="144"/>
      <c r="D82" s="144"/>
      <c r="E82" s="144"/>
      <c r="F82" s="144"/>
      <c r="G82" s="144"/>
      <c r="H82" s="27">
        <v>21376.4</v>
      </c>
      <c r="I82" s="27">
        <f>H82</f>
        <v>21376.4</v>
      </c>
      <c r="J82" s="27"/>
      <c r="K82" s="61">
        <f>C82+H82</f>
        <v>21376.4</v>
      </c>
      <c r="L82" s="311"/>
      <c r="M82" s="24">
        <f t="shared" si="5"/>
        <v>0</v>
      </c>
    </row>
    <row r="83" spans="1:13" ht="117.75" customHeight="1">
      <c r="A83" s="66" t="s">
        <v>13</v>
      </c>
      <c r="B83" s="67" t="s">
        <v>532</v>
      </c>
      <c r="C83" s="144">
        <f t="shared" si="6"/>
        <v>0</v>
      </c>
      <c r="D83" s="144"/>
      <c r="E83" s="144"/>
      <c r="F83" s="144"/>
      <c r="G83" s="144"/>
      <c r="H83" s="27">
        <v>5658.5</v>
      </c>
      <c r="I83" s="27">
        <f>H83</f>
        <v>5658.5</v>
      </c>
      <c r="J83" s="27"/>
      <c r="K83" s="61">
        <f aca="true" t="shared" si="7" ref="K83:K116">C83+H83</f>
        <v>5658.5</v>
      </c>
      <c r="L83" s="311"/>
      <c r="M83" s="24">
        <f t="shared" si="5"/>
        <v>0</v>
      </c>
    </row>
    <row r="84" spans="1:59" ht="25.5">
      <c r="A84" s="60" t="s">
        <v>217</v>
      </c>
      <c r="B84" s="67" t="s">
        <v>223</v>
      </c>
      <c r="C84" s="144"/>
      <c r="D84" s="22"/>
      <c r="E84" s="22"/>
      <c r="F84" s="22"/>
      <c r="G84" s="22"/>
      <c r="H84" s="22">
        <f aca="true" t="shared" si="8" ref="H84:H90">I84</f>
        <v>9959.1</v>
      </c>
      <c r="I84" s="22">
        <v>9959.1</v>
      </c>
      <c r="J84" s="22"/>
      <c r="K84" s="69">
        <f>H84+C84</f>
        <v>9959.1</v>
      </c>
      <c r="L84" s="313"/>
      <c r="M84" s="24">
        <f t="shared" si="5"/>
        <v>0</v>
      </c>
      <c r="N84" s="85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13" ht="25.5" hidden="1">
      <c r="A85" s="66" t="s">
        <v>14</v>
      </c>
      <c r="B85" s="67" t="s">
        <v>15</v>
      </c>
      <c r="C85" s="144">
        <f t="shared" si="6"/>
        <v>0</v>
      </c>
      <c r="D85" s="144"/>
      <c r="E85" s="144"/>
      <c r="F85" s="144"/>
      <c r="G85" s="144"/>
      <c r="H85" s="27">
        <f t="shared" si="8"/>
        <v>0</v>
      </c>
      <c r="I85" s="27"/>
      <c r="J85" s="27"/>
      <c r="K85" s="61">
        <f t="shared" si="7"/>
        <v>0</v>
      </c>
      <c r="L85" s="311"/>
      <c r="M85" s="24">
        <f t="shared" si="5"/>
        <v>0</v>
      </c>
    </row>
    <row r="86" spans="1:13" ht="25.5" hidden="1">
      <c r="A86" s="66" t="s">
        <v>16</v>
      </c>
      <c r="B86" s="67" t="s">
        <v>17</v>
      </c>
      <c r="C86" s="144">
        <f t="shared" si="6"/>
        <v>0</v>
      </c>
      <c r="D86" s="144"/>
      <c r="E86" s="144"/>
      <c r="F86" s="144"/>
      <c r="G86" s="144"/>
      <c r="H86" s="27">
        <f t="shared" si="8"/>
        <v>0</v>
      </c>
      <c r="I86" s="27"/>
      <c r="J86" s="27"/>
      <c r="K86" s="61">
        <f t="shared" si="7"/>
        <v>0</v>
      </c>
      <c r="L86" s="311"/>
      <c r="M86" s="24">
        <f t="shared" si="5"/>
        <v>0</v>
      </c>
    </row>
    <row r="87" spans="1:13" ht="12.75" hidden="1">
      <c r="A87" s="66" t="s">
        <v>18</v>
      </c>
      <c r="B87" s="17" t="s">
        <v>19</v>
      </c>
      <c r="C87" s="27">
        <f t="shared" si="6"/>
        <v>0</v>
      </c>
      <c r="D87" s="144"/>
      <c r="E87" s="144"/>
      <c r="F87" s="27"/>
      <c r="G87" s="144"/>
      <c r="H87" s="27">
        <f t="shared" si="8"/>
        <v>0</v>
      </c>
      <c r="I87" s="27"/>
      <c r="J87" s="27"/>
      <c r="K87" s="61">
        <f t="shared" si="7"/>
        <v>0</v>
      </c>
      <c r="L87" s="311"/>
      <c r="M87" s="24">
        <f t="shared" si="5"/>
        <v>0</v>
      </c>
    </row>
    <row r="88" spans="1:13" ht="134.25" customHeight="1" hidden="1">
      <c r="A88" s="66"/>
      <c r="B88" s="17" t="s">
        <v>48</v>
      </c>
      <c r="C88" s="27">
        <f t="shared" si="6"/>
        <v>0</v>
      </c>
      <c r="D88" s="144"/>
      <c r="E88" s="144"/>
      <c r="F88" s="27"/>
      <c r="G88" s="144"/>
      <c r="H88" s="27"/>
      <c r="I88" s="27"/>
      <c r="J88" s="27"/>
      <c r="K88" s="61">
        <f t="shared" si="7"/>
        <v>0</v>
      </c>
      <c r="L88" s="311"/>
      <c r="M88" s="24">
        <f t="shared" si="5"/>
        <v>0</v>
      </c>
    </row>
    <row r="89" spans="1:59" ht="51">
      <c r="A89" s="60" t="s">
        <v>218</v>
      </c>
      <c r="B89" s="67" t="s">
        <v>222</v>
      </c>
      <c r="C89" s="27">
        <f t="shared" si="6"/>
        <v>603.2</v>
      </c>
      <c r="D89" s="22"/>
      <c r="E89" s="22"/>
      <c r="F89" s="22">
        <v>603.2</v>
      </c>
      <c r="G89" s="22"/>
      <c r="H89" s="22">
        <f t="shared" si="8"/>
        <v>0</v>
      </c>
      <c r="I89" s="22"/>
      <c r="J89" s="22"/>
      <c r="K89" s="69">
        <f>H89+C89</f>
        <v>603.2</v>
      </c>
      <c r="L89" s="313"/>
      <c r="M89" s="24">
        <f t="shared" si="5"/>
        <v>-603.2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13" ht="12.75">
      <c r="A90" s="66" t="s">
        <v>20</v>
      </c>
      <c r="B90" s="17" t="s">
        <v>21</v>
      </c>
      <c r="C90" s="27">
        <f t="shared" si="6"/>
        <v>31007.4</v>
      </c>
      <c r="D90" s="144"/>
      <c r="E90" s="144"/>
      <c r="F90" s="27">
        <v>31007.4</v>
      </c>
      <c r="G90" s="144"/>
      <c r="H90" s="22">
        <f t="shared" si="8"/>
        <v>27484</v>
      </c>
      <c r="I90" s="27">
        <v>27484</v>
      </c>
      <c r="J90" s="27"/>
      <c r="K90" s="61">
        <f>C90+H90</f>
        <v>58491.4</v>
      </c>
      <c r="L90" s="311"/>
      <c r="M90" s="24">
        <f t="shared" si="5"/>
        <v>-31007.4</v>
      </c>
    </row>
    <row r="91" spans="1:13" s="18" customFormat="1" ht="25.5">
      <c r="A91" s="66" t="s">
        <v>469</v>
      </c>
      <c r="B91" s="183" t="s">
        <v>470</v>
      </c>
      <c r="C91" s="122">
        <f>D91+E91+F91</f>
        <v>500</v>
      </c>
      <c r="D91" s="27"/>
      <c r="E91" s="27"/>
      <c r="F91" s="27">
        <v>500</v>
      </c>
      <c r="G91" s="27"/>
      <c r="H91" s="27"/>
      <c r="I91" s="27"/>
      <c r="J91" s="27"/>
      <c r="K91" s="125">
        <f>C91+H91</f>
        <v>500</v>
      </c>
      <c r="L91" s="312"/>
      <c r="M91" s="24">
        <f t="shared" si="5"/>
        <v>-500</v>
      </c>
    </row>
    <row r="92" spans="1:13" s="18" customFormat="1" ht="25.5">
      <c r="A92" s="65" t="s">
        <v>504</v>
      </c>
      <c r="B92" s="327" t="s">
        <v>505</v>
      </c>
      <c r="C92" s="151">
        <f>D92+E92+F92</f>
        <v>600</v>
      </c>
      <c r="D92" s="42"/>
      <c r="E92" s="42"/>
      <c r="F92" s="42">
        <v>600</v>
      </c>
      <c r="G92" s="42"/>
      <c r="H92" s="42"/>
      <c r="I92" s="42"/>
      <c r="J92" s="42"/>
      <c r="K92" s="152">
        <f>C92+H92</f>
        <v>600</v>
      </c>
      <c r="L92" s="312"/>
      <c r="M92" s="24">
        <f t="shared" si="5"/>
        <v>-600</v>
      </c>
    </row>
    <row r="93" spans="1:13" s="18" customFormat="1" ht="25.5">
      <c r="A93" s="65">
        <v>170000</v>
      </c>
      <c r="B93" s="23" t="s">
        <v>310</v>
      </c>
      <c r="C93" s="42">
        <f>C94+C95+C96</f>
        <v>100</v>
      </c>
      <c r="D93" s="42">
        <f aca="true" t="shared" si="9" ref="D93:K93">D94+D95+D96</f>
        <v>0</v>
      </c>
      <c r="E93" s="42">
        <f t="shared" si="9"/>
        <v>0</v>
      </c>
      <c r="F93" s="42">
        <f t="shared" si="9"/>
        <v>100</v>
      </c>
      <c r="G93" s="42">
        <f t="shared" si="9"/>
        <v>0</v>
      </c>
      <c r="H93" s="42">
        <f>H94+H95+H96</f>
        <v>118394</v>
      </c>
      <c r="I93" s="42">
        <f t="shared" si="9"/>
        <v>0</v>
      </c>
      <c r="J93" s="42">
        <f t="shared" si="9"/>
        <v>0</v>
      </c>
      <c r="K93" s="59">
        <f t="shared" si="9"/>
        <v>118494</v>
      </c>
      <c r="L93" s="312">
        <f>0</f>
        <v>0</v>
      </c>
      <c r="M93" s="24">
        <f t="shared" si="5"/>
        <v>-100</v>
      </c>
    </row>
    <row r="94" spans="1:13" ht="38.25">
      <c r="A94" s="66">
        <v>170703</v>
      </c>
      <c r="B94" s="17" t="s">
        <v>23</v>
      </c>
      <c r="C94" s="27">
        <f aca="true" t="shared" si="10" ref="C94:C103">D94+E94+F94</f>
        <v>0</v>
      </c>
      <c r="D94" s="144"/>
      <c r="E94" s="144"/>
      <c r="F94" s="27"/>
      <c r="G94" s="144"/>
      <c r="H94" s="27">
        <v>118394</v>
      </c>
      <c r="I94" s="27"/>
      <c r="J94" s="27"/>
      <c r="K94" s="61">
        <f t="shared" si="7"/>
        <v>118394</v>
      </c>
      <c r="L94" s="311"/>
      <c r="M94" s="24"/>
    </row>
    <row r="95" spans="1:13" ht="25.5" hidden="1">
      <c r="A95" s="66" t="s">
        <v>22</v>
      </c>
      <c r="B95" s="17" t="s">
        <v>475</v>
      </c>
      <c r="C95" s="27">
        <f t="shared" si="10"/>
        <v>0</v>
      </c>
      <c r="D95" s="144"/>
      <c r="E95" s="144"/>
      <c r="F95" s="27"/>
      <c r="G95" s="144"/>
      <c r="H95" s="27"/>
      <c r="I95" s="27"/>
      <c r="J95" s="27"/>
      <c r="K95" s="61">
        <f>H95+C95</f>
        <v>0</v>
      </c>
      <c r="L95" s="311"/>
      <c r="M95" s="24">
        <f t="shared" si="5"/>
        <v>0</v>
      </c>
    </row>
    <row r="96" spans="1:13" ht="12.75">
      <c r="A96" s="66" t="s">
        <v>506</v>
      </c>
      <c r="B96" s="17" t="s">
        <v>507</v>
      </c>
      <c r="C96" s="27">
        <f t="shared" si="10"/>
        <v>100</v>
      </c>
      <c r="D96" s="144"/>
      <c r="E96" s="144"/>
      <c r="F96" s="27">
        <v>100</v>
      </c>
      <c r="G96" s="144"/>
      <c r="H96" s="27"/>
      <c r="I96" s="27"/>
      <c r="J96" s="27"/>
      <c r="K96" s="61">
        <f t="shared" si="7"/>
        <v>100</v>
      </c>
      <c r="L96" s="311"/>
      <c r="M96" s="24">
        <f t="shared" si="5"/>
        <v>-100</v>
      </c>
    </row>
    <row r="97" spans="1:13" ht="12.75">
      <c r="A97" s="65" t="s">
        <v>226</v>
      </c>
      <c r="B97" s="23" t="s">
        <v>227</v>
      </c>
      <c r="C97" s="42"/>
      <c r="D97" s="135"/>
      <c r="E97" s="135"/>
      <c r="F97" s="42"/>
      <c r="G97" s="135"/>
      <c r="H97" s="42">
        <v>54652.2</v>
      </c>
      <c r="I97" s="42">
        <f>H97</f>
        <v>54652.2</v>
      </c>
      <c r="J97" s="42"/>
      <c r="K97" s="59">
        <f t="shared" si="7"/>
        <v>54652.2</v>
      </c>
      <c r="L97" s="311"/>
      <c r="M97" s="24">
        <f t="shared" si="5"/>
        <v>0</v>
      </c>
    </row>
    <row r="98" spans="1:13" ht="27" customHeight="1">
      <c r="A98" s="65">
        <v>180109</v>
      </c>
      <c r="B98" s="23" t="s">
        <v>313</v>
      </c>
      <c r="C98" s="42">
        <f t="shared" si="10"/>
        <v>16102.499999999993</v>
      </c>
      <c r="D98" s="27"/>
      <c r="E98" s="27"/>
      <c r="F98" s="42">
        <f>152922.8-100-715-90+1954.7-13720-20000-4560.4-4924.3-2000-400-519.8-11743-3510-850-2100-8300-3500-23124-132.8-12920-500-3000-500-250-12000-30-30-514-1000-1000-140+8284.6-30-40-7000-460.4-700-850-2230-1600-74-400-270-400-700-250+418.1-100-200</f>
        <v>16102.499999999993</v>
      </c>
      <c r="G98" s="27"/>
      <c r="H98" s="42"/>
      <c r="I98" s="42"/>
      <c r="J98" s="27"/>
      <c r="K98" s="59">
        <f t="shared" si="7"/>
        <v>16102.499999999993</v>
      </c>
      <c r="L98" s="311">
        <f>16402.5</f>
        <v>16402.5</v>
      </c>
      <c r="M98" s="24">
        <f t="shared" si="5"/>
        <v>300.0000000000073</v>
      </c>
    </row>
    <row r="99" spans="1:13" ht="21.75" customHeight="1" hidden="1">
      <c r="A99" s="65" t="s">
        <v>226</v>
      </c>
      <c r="B99" s="51" t="s">
        <v>227</v>
      </c>
      <c r="C99" s="42">
        <f t="shared" si="10"/>
        <v>0</v>
      </c>
      <c r="D99" s="27"/>
      <c r="E99" s="27"/>
      <c r="F99" s="42"/>
      <c r="G99" s="27"/>
      <c r="H99" s="42"/>
      <c r="I99" s="27"/>
      <c r="J99" s="27"/>
      <c r="K99" s="59">
        <f t="shared" si="7"/>
        <v>0</v>
      </c>
      <c r="L99" s="311"/>
      <c r="M99" s="24">
        <f t="shared" si="5"/>
        <v>0</v>
      </c>
    </row>
    <row r="100" spans="1:13" ht="12.75">
      <c r="A100" s="65">
        <v>180404</v>
      </c>
      <c r="B100" s="23" t="s">
        <v>314</v>
      </c>
      <c r="C100" s="42">
        <f t="shared" si="10"/>
        <v>659.8</v>
      </c>
      <c r="D100" s="27"/>
      <c r="E100" s="27"/>
      <c r="F100" s="42">
        <f>519.8+140</f>
        <v>659.8</v>
      </c>
      <c r="G100" s="27"/>
      <c r="H100" s="42"/>
      <c r="I100" s="27"/>
      <c r="J100" s="27"/>
      <c r="K100" s="59">
        <f t="shared" si="7"/>
        <v>659.8</v>
      </c>
      <c r="L100" s="311">
        <f>659.8</f>
        <v>659.8</v>
      </c>
      <c r="M100" s="24">
        <f t="shared" si="5"/>
        <v>0</v>
      </c>
    </row>
    <row r="101" spans="1:15" ht="42" customHeight="1">
      <c r="A101" s="65" t="s">
        <v>24</v>
      </c>
      <c r="B101" s="23" t="s">
        <v>25</v>
      </c>
      <c r="C101" s="42">
        <f t="shared" si="10"/>
        <v>0</v>
      </c>
      <c r="D101" s="27"/>
      <c r="E101" s="27"/>
      <c r="F101" s="42"/>
      <c r="G101" s="27"/>
      <c r="H101" s="42">
        <f>I101</f>
        <v>28986.3</v>
      </c>
      <c r="I101" s="42">
        <f>13820+90+400+30+30+30+4000+886.3+9400+300</f>
        <v>28986.3</v>
      </c>
      <c r="J101" s="27"/>
      <c r="K101" s="59">
        <f>C101+H101</f>
        <v>28986.3</v>
      </c>
      <c r="L101" s="311">
        <f>0</f>
        <v>0</v>
      </c>
      <c r="M101" s="24">
        <f t="shared" si="5"/>
        <v>0</v>
      </c>
      <c r="N101" s="3">
        <f>9400+886.3</f>
        <v>10286.3</v>
      </c>
      <c r="O101" s="3">
        <f>18400+N101</f>
        <v>28686.3</v>
      </c>
    </row>
    <row r="102" spans="1:13" ht="38.25" hidden="1">
      <c r="A102" s="66"/>
      <c r="B102" s="17" t="s">
        <v>471</v>
      </c>
      <c r="C102" s="42">
        <f t="shared" si="10"/>
        <v>0</v>
      </c>
      <c r="D102" s="27"/>
      <c r="E102" s="27"/>
      <c r="F102" s="27"/>
      <c r="G102" s="27"/>
      <c r="H102" s="27"/>
      <c r="I102" s="27"/>
      <c r="J102" s="27"/>
      <c r="K102" s="59">
        <f t="shared" si="7"/>
        <v>0</v>
      </c>
      <c r="L102" s="311"/>
      <c r="M102" s="24">
        <f t="shared" si="5"/>
        <v>0</v>
      </c>
    </row>
    <row r="103" spans="1:13" ht="42" customHeight="1" hidden="1">
      <c r="A103" s="66"/>
      <c r="B103" s="17" t="s">
        <v>472</v>
      </c>
      <c r="C103" s="42">
        <f t="shared" si="10"/>
        <v>0</v>
      </c>
      <c r="D103" s="27"/>
      <c r="E103" s="27"/>
      <c r="F103" s="27"/>
      <c r="G103" s="27"/>
      <c r="H103" s="27"/>
      <c r="I103" s="27"/>
      <c r="J103" s="27"/>
      <c r="K103" s="59">
        <f t="shared" si="7"/>
        <v>0</v>
      </c>
      <c r="L103" s="311"/>
      <c r="M103" s="24">
        <f t="shared" si="5"/>
        <v>0</v>
      </c>
    </row>
    <row r="104" spans="1:13" ht="25.5">
      <c r="A104" s="65" t="s">
        <v>194</v>
      </c>
      <c r="B104" s="23" t="s">
        <v>195</v>
      </c>
      <c r="C104" s="42">
        <f>D104+E104+F104</f>
        <v>100</v>
      </c>
      <c r="D104" s="27"/>
      <c r="E104" s="27"/>
      <c r="F104" s="42">
        <v>100</v>
      </c>
      <c r="G104" s="27"/>
      <c r="H104" s="42"/>
      <c r="I104" s="42"/>
      <c r="J104" s="27"/>
      <c r="K104" s="59">
        <f t="shared" si="7"/>
        <v>100</v>
      </c>
      <c r="L104" s="311">
        <v>100</v>
      </c>
      <c r="M104" s="24">
        <f t="shared" si="5"/>
        <v>0</v>
      </c>
    </row>
    <row r="105" spans="1:59" ht="106.5" customHeight="1" hidden="1">
      <c r="A105" s="240"/>
      <c r="B105" s="241" t="s">
        <v>184</v>
      </c>
      <c r="C105" s="27"/>
      <c r="D105" s="27"/>
      <c r="E105" s="27"/>
      <c r="F105" s="27"/>
      <c r="G105" s="27"/>
      <c r="H105" s="27"/>
      <c r="I105" s="27"/>
      <c r="J105" s="27"/>
      <c r="K105" s="69">
        <f>C105+H105</f>
        <v>0</v>
      </c>
      <c r="L105" s="313"/>
      <c r="M105" s="24">
        <f t="shared" si="5"/>
        <v>0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1:13" s="18" customFormat="1" ht="25.5">
      <c r="A106" s="65">
        <v>210000</v>
      </c>
      <c r="B106" s="54" t="s">
        <v>26</v>
      </c>
      <c r="C106" s="42">
        <f>D106+E106+F106+G106</f>
        <v>4235.01</v>
      </c>
      <c r="D106" s="42"/>
      <c r="E106" s="42"/>
      <c r="F106" s="42">
        <f>1000+400+208.4+210+1025</f>
        <v>2843.4</v>
      </c>
      <c r="G106" s="42">
        <v>1391.61</v>
      </c>
      <c r="H106" s="42"/>
      <c r="I106" s="42">
        <f>H106</f>
        <v>0</v>
      </c>
      <c r="J106" s="42"/>
      <c r="K106" s="59">
        <f>C106+H106</f>
        <v>4235.01</v>
      </c>
      <c r="L106" s="314">
        <f>2791.6</f>
        <v>2791.6</v>
      </c>
      <c r="M106" s="24">
        <f t="shared" si="5"/>
        <v>-1443.4100000000003</v>
      </c>
    </row>
    <row r="107" spans="1:13" s="18" customFormat="1" ht="12.75" hidden="1">
      <c r="A107" s="58" t="s">
        <v>409</v>
      </c>
      <c r="B107" s="68" t="s">
        <v>410</v>
      </c>
      <c r="C107" s="135">
        <f>D107+E107+F107</f>
        <v>0</v>
      </c>
      <c r="D107" s="42"/>
      <c r="E107" s="42"/>
      <c r="F107" s="42"/>
      <c r="G107" s="42"/>
      <c r="H107" s="42"/>
      <c r="I107" s="42"/>
      <c r="J107" s="42"/>
      <c r="K107" s="59">
        <f t="shared" si="7"/>
        <v>0</v>
      </c>
      <c r="L107" s="312"/>
      <c r="M107" s="24">
        <f t="shared" si="5"/>
        <v>0</v>
      </c>
    </row>
    <row r="108" spans="1:13" s="18" customFormat="1" ht="12.75" hidden="1">
      <c r="A108" s="58" t="s">
        <v>228</v>
      </c>
      <c r="B108" s="51" t="s">
        <v>229</v>
      </c>
      <c r="C108" s="42">
        <f>D108+E108+F108</f>
        <v>0</v>
      </c>
      <c r="D108" s="42"/>
      <c r="E108" s="42"/>
      <c r="F108" s="42">
        <f>212-212</f>
        <v>0</v>
      </c>
      <c r="G108" s="42"/>
      <c r="H108" s="42"/>
      <c r="I108" s="42"/>
      <c r="J108" s="42"/>
      <c r="K108" s="59">
        <f t="shared" si="7"/>
        <v>0</v>
      </c>
      <c r="L108" s="312"/>
      <c r="M108" s="24">
        <f t="shared" si="5"/>
        <v>0</v>
      </c>
    </row>
    <row r="109" spans="1:13" s="18" customFormat="1" ht="12.75" hidden="1">
      <c r="A109" s="65">
        <v>230000</v>
      </c>
      <c r="B109" s="23" t="s">
        <v>315</v>
      </c>
      <c r="C109" s="42">
        <f>D109+E109+F109</f>
        <v>0</v>
      </c>
      <c r="D109" s="42"/>
      <c r="E109" s="42"/>
      <c r="F109" s="42"/>
      <c r="G109" s="42"/>
      <c r="H109" s="42"/>
      <c r="I109" s="42"/>
      <c r="J109" s="42"/>
      <c r="K109" s="59">
        <f t="shared" si="7"/>
        <v>0</v>
      </c>
      <c r="L109" s="312"/>
      <c r="M109" s="24">
        <f t="shared" si="5"/>
        <v>0</v>
      </c>
    </row>
    <row r="110" spans="1:13" s="18" customFormat="1" ht="13.5" customHeight="1">
      <c r="A110" s="58">
        <v>240000</v>
      </c>
      <c r="B110" s="23" t="s">
        <v>316</v>
      </c>
      <c r="C110" s="42">
        <f aca="true" t="shared" si="11" ref="C110:H110">C111</f>
        <v>0</v>
      </c>
      <c r="D110" s="135">
        <f t="shared" si="11"/>
        <v>0</v>
      </c>
      <c r="E110" s="135">
        <f t="shared" si="11"/>
        <v>0</v>
      </c>
      <c r="F110" s="135">
        <f t="shared" si="11"/>
        <v>0</v>
      </c>
      <c r="G110" s="135">
        <f t="shared" si="11"/>
        <v>0</v>
      </c>
      <c r="H110" s="42">
        <f t="shared" si="11"/>
        <v>40940</v>
      </c>
      <c r="I110" s="42"/>
      <c r="J110" s="42"/>
      <c r="K110" s="59">
        <f t="shared" si="7"/>
        <v>40940</v>
      </c>
      <c r="L110" s="312">
        <v>0</v>
      </c>
      <c r="M110" s="24">
        <f t="shared" si="5"/>
        <v>0</v>
      </c>
    </row>
    <row r="111" spans="1:13" ht="70.5" customHeight="1">
      <c r="A111" s="60" t="s">
        <v>457</v>
      </c>
      <c r="B111" s="21" t="s">
        <v>317</v>
      </c>
      <c r="C111" s="144">
        <f>D111+E111+F111</f>
        <v>0</v>
      </c>
      <c r="D111" s="144"/>
      <c r="E111" s="144"/>
      <c r="F111" s="144"/>
      <c r="G111" s="27"/>
      <c r="H111" s="27">
        <f>49000-1000-7060</f>
        <v>40940</v>
      </c>
      <c r="I111" s="27"/>
      <c r="J111" s="27"/>
      <c r="K111" s="61">
        <f t="shared" si="7"/>
        <v>40940</v>
      </c>
      <c r="L111" s="311">
        <v>0</v>
      </c>
      <c r="M111" s="24">
        <f t="shared" si="5"/>
        <v>0</v>
      </c>
    </row>
    <row r="112" spans="1:13" s="18" customFormat="1" ht="12.75">
      <c r="A112" s="65">
        <v>250000</v>
      </c>
      <c r="B112" s="68" t="s">
        <v>318</v>
      </c>
      <c r="C112" s="63">
        <f>C113+C114+C117+C116+C115</f>
        <v>372034.49999999994</v>
      </c>
      <c r="D112" s="63">
        <f aca="true" t="shared" si="12" ref="D112:K112">D113+D114+D117+D116+D115</f>
        <v>0</v>
      </c>
      <c r="E112" s="63">
        <f t="shared" si="12"/>
        <v>0</v>
      </c>
      <c r="F112" s="63">
        <f t="shared" si="12"/>
        <v>372034.49999999994</v>
      </c>
      <c r="G112" s="63">
        <f t="shared" si="12"/>
        <v>0</v>
      </c>
      <c r="H112" s="63">
        <f t="shared" si="12"/>
        <v>0</v>
      </c>
      <c r="I112" s="63">
        <f t="shared" si="12"/>
        <v>0</v>
      </c>
      <c r="J112" s="63">
        <f t="shared" si="12"/>
        <v>0</v>
      </c>
      <c r="K112" s="64">
        <f t="shared" si="12"/>
        <v>372034.49999999994</v>
      </c>
      <c r="L112" s="312"/>
      <c r="M112" s="24"/>
    </row>
    <row r="113" spans="1:13" ht="12.75">
      <c r="A113" s="66">
        <v>250102</v>
      </c>
      <c r="B113" s="17" t="s">
        <v>319</v>
      </c>
      <c r="C113" s="27">
        <f>D113+E113+F113</f>
        <v>6191.6</v>
      </c>
      <c r="D113" s="27"/>
      <c r="E113" s="27"/>
      <c r="F113" s="27">
        <f>7000-600-208.4</f>
        <v>6191.6</v>
      </c>
      <c r="G113" s="27"/>
      <c r="H113" s="27"/>
      <c r="I113" s="27"/>
      <c r="J113" s="27"/>
      <c r="K113" s="61">
        <f t="shared" si="7"/>
        <v>6191.6</v>
      </c>
      <c r="L113" s="311">
        <f>6400</f>
        <v>6400</v>
      </c>
      <c r="M113" s="24">
        <f t="shared" si="5"/>
        <v>208.39999999999964</v>
      </c>
    </row>
    <row r="114" spans="1:13" ht="12.75" hidden="1">
      <c r="A114" s="66">
        <v>250203</v>
      </c>
      <c r="B114" s="17" t="s">
        <v>27</v>
      </c>
      <c r="C114" s="27">
        <f>D114+E114+F114</f>
        <v>0</v>
      </c>
      <c r="D114" s="27"/>
      <c r="E114" s="27"/>
      <c r="F114" s="27"/>
      <c r="G114" s="27"/>
      <c r="H114" s="27"/>
      <c r="I114" s="27"/>
      <c r="J114" s="27"/>
      <c r="K114" s="61">
        <f t="shared" si="7"/>
        <v>0</v>
      </c>
      <c r="L114" s="311"/>
      <c r="M114" s="24">
        <f t="shared" si="5"/>
        <v>0</v>
      </c>
    </row>
    <row r="115" spans="1:13" ht="12.75" hidden="1">
      <c r="A115" s="66" t="s">
        <v>28</v>
      </c>
      <c r="B115" s="17" t="s">
        <v>29</v>
      </c>
      <c r="C115" s="27">
        <f>D115+E115+F115</f>
        <v>0</v>
      </c>
      <c r="D115" s="27"/>
      <c r="E115" s="27"/>
      <c r="F115" s="27"/>
      <c r="G115" s="27"/>
      <c r="H115" s="27"/>
      <c r="I115" s="27"/>
      <c r="J115" s="27"/>
      <c r="K115" s="61">
        <f t="shared" si="7"/>
        <v>0</v>
      </c>
      <c r="L115" s="311"/>
      <c r="M115" s="24">
        <f t="shared" si="5"/>
        <v>0</v>
      </c>
    </row>
    <row r="116" spans="1:13" ht="26.25" customHeight="1">
      <c r="A116" s="66">
        <v>250306</v>
      </c>
      <c r="B116" s="17" t="s">
        <v>327</v>
      </c>
      <c r="C116" s="27">
        <f>D116+E116+F116</f>
        <v>364907.99999999994</v>
      </c>
      <c r="D116" s="27"/>
      <c r="E116" s="27"/>
      <c r="F116" s="27">
        <f>163278.5+10000-10000+90+3000+9000+8500+2000+13720+20000+400+2000+5000-5000+30+30+30+2230+1600+74+50745.6+7000-5000+4000+59691.6+11886.3-1000+1902+9400+300</f>
        <v>364907.99999999994</v>
      </c>
      <c r="G116" s="27"/>
      <c r="H116" s="27"/>
      <c r="I116" s="27"/>
      <c r="J116" s="27"/>
      <c r="K116" s="61">
        <f t="shared" si="7"/>
        <v>364907.99999999994</v>
      </c>
      <c r="L116" s="311">
        <f>282728.1</f>
        <v>282728.1</v>
      </c>
      <c r="M116" s="24">
        <f t="shared" si="5"/>
        <v>-82179.89999999997</v>
      </c>
    </row>
    <row r="117" spans="1:16" ht="12.75">
      <c r="A117" s="66">
        <v>250404</v>
      </c>
      <c r="B117" s="17" t="s">
        <v>321</v>
      </c>
      <c r="C117" s="27">
        <f>D117+E117+F117</f>
        <v>934.9</v>
      </c>
      <c r="D117" s="27"/>
      <c r="E117" s="27"/>
      <c r="F117" s="27">
        <f>380+500+4.9+50</f>
        <v>934.9</v>
      </c>
      <c r="G117" s="27"/>
      <c r="H117" s="27"/>
      <c r="I117" s="27"/>
      <c r="J117" s="27"/>
      <c r="K117" s="61">
        <f>C117+H117</f>
        <v>934.9</v>
      </c>
      <c r="L117" s="311">
        <f>880</f>
        <v>880</v>
      </c>
      <c r="M117" s="24">
        <f t="shared" si="5"/>
        <v>-54.89999999999998</v>
      </c>
      <c r="N117" s="3">
        <f>4.9+50</f>
        <v>54.9</v>
      </c>
      <c r="O117" s="3">
        <f>L117+N117</f>
        <v>934.9</v>
      </c>
      <c r="P117" s="29">
        <f>O117-K117</f>
        <v>0</v>
      </c>
    </row>
    <row r="118" spans="1:13" s="18" customFormat="1" ht="18" customHeight="1">
      <c r="A118" s="65"/>
      <c r="B118" s="23" t="s">
        <v>322</v>
      </c>
      <c r="C118" s="42">
        <f>C112+C111+C109+C107+C106+C101+C100+C98+C93+C79+C76+C72+C67+C62+C29+C23+C17+C15+C13+C99+C108+C104+C92</f>
        <v>1593633.5890000002</v>
      </c>
      <c r="D118" s="42">
        <f>D112+D111+D109+D107+D106+D101+D100+D98+D93+D79+D76+D72+D67+D62+D29+D23+D17+D15+D13+D99+D108+D104</f>
        <v>396449.9</v>
      </c>
      <c r="E118" s="42">
        <f>E112+E111+E109+E107+E106+E101+E100+E98+E93+E79+E76+E72+E67+E62+E29+E23+E17+E15+E13+E99+E108+E104</f>
        <v>96510.9</v>
      </c>
      <c r="F118" s="42">
        <f>F112+F111+F109+F107+F106+F101+F100+F98+F93+F79+F76+F72+F67+F62+F29+F23+F17+F15+F13+F99+F108+F104+F92</f>
        <v>1087436.1</v>
      </c>
      <c r="G118" s="42">
        <f>G112+G111+G109+G107+G106+G101+G100+G98+G93+G79+G76+G72+G67+G62+G29+G23+G17+G15+G13+G99+G108+G104</f>
        <v>13236.688999999998</v>
      </c>
      <c r="H118" s="42">
        <f>H112+H111+H109+H107+H106+H101+H100+H98+H93+H79+H76+H72+H67+H62+H29+H23+H17+H15+H13+H99+H108+H104+H97</f>
        <v>647474.2</v>
      </c>
      <c r="I118" s="42">
        <f>I112+I111+I109+I107+I106+I101+I100+I98+I93+I79+I76+I72+I67+I62+I29+I23+I17+I15+I13+I99+I108+I104+I97</f>
        <v>439737.89999999997</v>
      </c>
      <c r="J118" s="42">
        <f>J112+J111+J109+J107+J106+J101+J100+J98+J93+J79+J76+J72+J67+J62+J29+J23+J17+J15+J13+J99+J108+J104</f>
        <v>2845.3</v>
      </c>
      <c r="K118" s="59">
        <f>K112+K111+K109+K107+K106+K101+K100+K98+K93+K79+K76+K72+K67+K62+K29+K23+K17+K15+K13+K99+K108+K104+K97+K92</f>
        <v>2241107.789</v>
      </c>
      <c r="L118" s="314">
        <f>1490557.6</f>
        <v>1490557.6</v>
      </c>
      <c r="M118" s="24">
        <f t="shared" si="5"/>
        <v>-103075.98900000006</v>
      </c>
    </row>
    <row r="119" spans="1:13" s="18" customFormat="1" ht="27" customHeight="1">
      <c r="A119" s="66" t="s">
        <v>364</v>
      </c>
      <c r="B119" s="43" t="s">
        <v>368</v>
      </c>
      <c r="C119" s="27">
        <f>D119+E119+F119</f>
        <v>65401.1</v>
      </c>
      <c r="D119" s="42"/>
      <c r="E119" s="42"/>
      <c r="F119" s="27">
        <f>40547.5+24853.6</f>
        <v>65401.1</v>
      </c>
      <c r="G119" s="42"/>
      <c r="H119" s="42"/>
      <c r="I119" s="42"/>
      <c r="J119" s="42"/>
      <c r="K119" s="61">
        <f aca="true" t="shared" si="13" ref="K119:K127">C119+H119</f>
        <v>65401.1</v>
      </c>
      <c r="L119" s="314">
        <v>65401.1</v>
      </c>
      <c r="M119" s="24">
        <f t="shared" si="5"/>
        <v>0</v>
      </c>
    </row>
    <row r="120" spans="1:13" s="18" customFormat="1" ht="76.5" customHeight="1" hidden="1">
      <c r="A120" s="66" t="s">
        <v>34</v>
      </c>
      <c r="B120" s="43" t="s">
        <v>35</v>
      </c>
      <c r="C120" s="27">
        <f>D120+E120+F120</f>
        <v>0</v>
      </c>
      <c r="D120" s="42"/>
      <c r="E120" s="42"/>
      <c r="F120" s="27"/>
      <c r="G120" s="42"/>
      <c r="H120" s="42"/>
      <c r="I120" s="42"/>
      <c r="J120" s="42"/>
      <c r="K120" s="61">
        <f t="shared" si="13"/>
        <v>0</v>
      </c>
      <c r="L120" s="314"/>
      <c r="M120" s="24">
        <f t="shared" si="5"/>
        <v>0</v>
      </c>
    </row>
    <row r="121" spans="1:13" s="18" customFormat="1" ht="114.75" hidden="1">
      <c r="A121" s="66" t="s">
        <v>36</v>
      </c>
      <c r="B121" s="43" t="s">
        <v>198</v>
      </c>
      <c r="C121" s="27">
        <f>D121+E121+F121</f>
        <v>0</v>
      </c>
      <c r="D121" s="42"/>
      <c r="E121" s="42"/>
      <c r="F121" s="27"/>
      <c r="G121" s="42"/>
      <c r="H121" s="42"/>
      <c r="I121" s="42"/>
      <c r="J121" s="42"/>
      <c r="K121" s="61">
        <f t="shared" si="13"/>
        <v>0</v>
      </c>
      <c r="L121" s="314"/>
      <c r="M121" s="24">
        <f t="shared" si="5"/>
        <v>0</v>
      </c>
    </row>
    <row r="122" spans="1:13" s="18" customFormat="1" ht="78" customHeight="1" hidden="1">
      <c r="A122" s="66" t="s">
        <v>284</v>
      </c>
      <c r="B122" s="117" t="s">
        <v>199</v>
      </c>
      <c r="C122" s="27">
        <f>D122+E122+F122</f>
        <v>0</v>
      </c>
      <c r="D122" s="42"/>
      <c r="E122" s="42"/>
      <c r="F122" s="27"/>
      <c r="G122" s="42"/>
      <c r="H122" s="42"/>
      <c r="I122" s="42"/>
      <c r="J122" s="42"/>
      <c r="K122" s="61">
        <f t="shared" si="13"/>
        <v>0</v>
      </c>
      <c r="L122" s="314"/>
      <c r="M122" s="24">
        <f t="shared" si="5"/>
        <v>0</v>
      </c>
    </row>
    <row r="123" spans="1:13" ht="41.25" customHeight="1" hidden="1">
      <c r="A123" s="66">
        <v>250301</v>
      </c>
      <c r="B123" s="49" t="s">
        <v>41</v>
      </c>
      <c r="C123" s="27">
        <f>D123+E123+F123</f>
        <v>0</v>
      </c>
      <c r="D123" s="27"/>
      <c r="E123" s="27"/>
      <c r="F123" s="27"/>
      <c r="G123" s="27"/>
      <c r="H123" s="27"/>
      <c r="I123" s="27"/>
      <c r="J123" s="27"/>
      <c r="K123" s="61">
        <f t="shared" si="13"/>
        <v>0</v>
      </c>
      <c r="L123" s="311"/>
      <c r="M123" s="24">
        <f t="shared" si="5"/>
        <v>0</v>
      </c>
    </row>
    <row r="124" spans="1:13" ht="12.75" hidden="1">
      <c r="A124" s="211"/>
      <c r="B124" s="71"/>
      <c r="C124" s="27"/>
      <c r="D124" s="42"/>
      <c r="E124" s="42"/>
      <c r="F124" s="71"/>
      <c r="G124" s="42"/>
      <c r="H124" s="42"/>
      <c r="I124" s="42"/>
      <c r="J124" s="42"/>
      <c r="K124" s="61">
        <f t="shared" si="13"/>
        <v>0</v>
      </c>
      <c r="L124" s="311"/>
      <c r="M124" s="24">
        <f t="shared" si="5"/>
        <v>0</v>
      </c>
    </row>
    <row r="125" spans="1:13" ht="30" customHeight="1">
      <c r="A125" s="66" t="s">
        <v>152</v>
      </c>
      <c r="B125" s="70" t="s">
        <v>153</v>
      </c>
      <c r="C125" s="27">
        <f>D125+E125+F125</f>
        <v>12978.3</v>
      </c>
      <c r="D125" s="42"/>
      <c r="E125" s="42"/>
      <c r="F125" s="27">
        <f>12088.6+281.4+608.3</f>
        <v>12978.3</v>
      </c>
      <c r="G125" s="42"/>
      <c r="H125" s="42"/>
      <c r="I125" s="42"/>
      <c r="J125" s="42"/>
      <c r="K125" s="61">
        <f t="shared" si="13"/>
        <v>12978.3</v>
      </c>
      <c r="L125" s="311">
        <v>12978.3</v>
      </c>
      <c r="M125" s="24">
        <f t="shared" si="5"/>
        <v>0</v>
      </c>
    </row>
    <row r="126" spans="1:13" ht="58.5" customHeight="1">
      <c r="A126" s="66" t="s">
        <v>483</v>
      </c>
      <c r="B126" s="70" t="s">
        <v>478</v>
      </c>
      <c r="C126" s="27">
        <f>D126+E126+F126</f>
        <v>804631.1</v>
      </c>
      <c r="D126" s="42"/>
      <c r="E126" s="42"/>
      <c r="F126" s="27">
        <f>733190.5+71440.6</f>
        <v>804631.1</v>
      </c>
      <c r="G126" s="42"/>
      <c r="H126" s="42"/>
      <c r="I126" s="42"/>
      <c r="J126" s="42"/>
      <c r="K126" s="61">
        <f t="shared" si="13"/>
        <v>804631.1</v>
      </c>
      <c r="L126" s="311">
        <v>804631.1</v>
      </c>
      <c r="M126" s="24">
        <f t="shared" si="5"/>
        <v>0</v>
      </c>
    </row>
    <row r="127" spans="1:13" ht="66" customHeight="1">
      <c r="A127" s="66" t="s">
        <v>42</v>
      </c>
      <c r="B127" s="159" t="s">
        <v>94</v>
      </c>
      <c r="C127" s="88">
        <f>D127+E127+F127</f>
        <v>552589.2</v>
      </c>
      <c r="D127" s="207"/>
      <c r="E127" s="207"/>
      <c r="F127" s="88">
        <v>552589.2</v>
      </c>
      <c r="G127" s="42"/>
      <c r="H127" s="207"/>
      <c r="I127" s="207"/>
      <c r="J127" s="207"/>
      <c r="K127" s="208">
        <f t="shared" si="13"/>
        <v>552589.2</v>
      </c>
      <c r="L127" s="311">
        <v>552589.2</v>
      </c>
      <c r="M127" s="24">
        <f t="shared" si="5"/>
        <v>0</v>
      </c>
    </row>
    <row r="128" spans="1:13" ht="119.25" customHeight="1">
      <c r="A128" s="126" t="s">
        <v>43</v>
      </c>
      <c r="B128" s="205" t="s">
        <v>485</v>
      </c>
      <c r="C128" s="121">
        <f>D128+E128+F128</f>
        <v>93703</v>
      </c>
      <c r="D128" s="42"/>
      <c r="E128" s="42"/>
      <c r="F128" s="27">
        <v>93703</v>
      </c>
      <c r="G128" s="42"/>
      <c r="H128" s="42"/>
      <c r="I128" s="42"/>
      <c r="J128" s="42"/>
      <c r="K128" s="61">
        <f aca="true" t="shared" si="14" ref="K128:K162">C128+H128</f>
        <v>93703</v>
      </c>
      <c r="L128" s="311">
        <v>93703</v>
      </c>
      <c r="M128" s="24">
        <f t="shared" si="5"/>
        <v>0</v>
      </c>
    </row>
    <row r="129" spans="1:13" s="18" customFormat="1" ht="69" customHeight="1">
      <c r="A129" s="123" t="s">
        <v>44</v>
      </c>
      <c r="B129" s="67" t="s">
        <v>484</v>
      </c>
      <c r="C129" s="122">
        <f>D129+E129+F129</f>
        <v>31203.3</v>
      </c>
      <c r="D129" s="122"/>
      <c r="E129" s="122"/>
      <c r="F129" s="122">
        <v>31203.3</v>
      </c>
      <c r="G129" s="122"/>
      <c r="H129" s="122"/>
      <c r="I129" s="122"/>
      <c r="J129" s="122"/>
      <c r="K129" s="125">
        <f t="shared" si="14"/>
        <v>31203.3</v>
      </c>
      <c r="L129" s="314">
        <v>31203.3</v>
      </c>
      <c r="M129" s="24">
        <f t="shared" si="5"/>
        <v>0</v>
      </c>
    </row>
    <row r="130" spans="1:13" s="18" customFormat="1" ht="102">
      <c r="A130" s="66" t="s">
        <v>358</v>
      </c>
      <c r="B130" s="241" t="s">
        <v>359</v>
      </c>
      <c r="C130" s="122"/>
      <c r="D130" s="27"/>
      <c r="E130" s="27"/>
      <c r="F130" s="27"/>
      <c r="G130" s="27"/>
      <c r="H130" s="27">
        <v>4527.7</v>
      </c>
      <c r="I130" s="27"/>
      <c r="J130" s="27"/>
      <c r="K130" s="125">
        <f t="shared" si="14"/>
        <v>4527.7</v>
      </c>
      <c r="L130" s="314">
        <v>0</v>
      </c>
      <c r="M130" s="24">
        <f t="shared" si="5"/>
        <v>0</v>
      </c>
    </row>
    <row r="131" spans="1:13" s="18" customFormat="1" ht="63.75" hidden="1">
      <c r="A131" s="66" t="s">
        <v>287</v>
      </c>
      <c r="B131" s="46" t="s">
        <v>541</v>
      </c>
      <c r="C131" s="122">
        <f>D131+E131+F131</f>
        <v>0</v>
      </c>
      <c r="D131" s="27"/>
      <c r="E131" s="27"/>
      <c r="F131" s="27"/>
      <c r="G131" s="27"/>
      <c r="H131" s="27"/>
      <c r="I131" s="27"/>
      <c r="J131" s="27"/>
      <c r="K131" s="125">
        <f t="shared" si="14"/>
        <v>0</v>
      </c>
      <c r="L131" s="312"/>
      <c r="M131" s="24">
        <f t="shared" si="5"/>
        <v>0</v>
      </c>
    </row>
    <row r="132" spans="1:13" s="18" customFormat="1" ht="89.25" hidden="1">
      <c r="A132" s="123" t="s">
        <v>365</v>
      </c>
      <c r="B132" s="206" t="s">
        <v>242</v>
      </c>
      <c r="C132" s="122"/>
      <c r="D132" s="27"/>
      <c r="E132" s="27"/>
      <c r="F132" s="27"/>
      <c r="G132" s="27"/>
      <c r="H132" s="44"/>
      <c r="I132" s="44"/>
      <c r="J132" s="27"/>
      <c r="K132" s="125">
        <f>C132+H132</f>
        <v>0</v>
      </c>
      <c r="L132" s="312"/>
      <c r="M132" s="24">
        <f t="shared" si="5"/>
        <v>0</v>
      </c>
    </row>
    <row r="133" spans="1:13" s="18" customFormat="1" ht="38.25">
      <c r="A133" s="123" t="s">
        <v>237</v>
      </c>
      <c r="B133" s="183" t="s">
        <v>238</v>
      </c>
      <c r="C133" s="122">
        <f>D133+E133+F133</f>
        <v>5600</v>
      </c>
      <c r="D133" s="27"/>
      <c r="E133" s="27"/>
      <c r="F133" s="27">
        <v>5600</v>
      </c>
      <c r="G133" s="27"/>
      <c r="H133" s="44"/>
      <c r="I133" s="44"/>
      <c r="J133" s="27"/>
      <c r="K133" s="125">
        <f>C133+H133</f>
        <v>5600</v>
      </c>
      <c r="L133" s="312">
        <f>0</f>
        <v>0</v>
      </c>
      <c r="M133" s="24">
        <f t="shared" si="5"/>
        <v>-5600</v>
      </c>
    </row>
    <row r="134" spans="1:13" s="18" customFormat="1" ht="102" hidden="1">
      <c r="A134" s="66" t="s">
        <v>366</v>
      </c>
      <c r="B134" s="183" t="s">
        <v>360</v>
      </c>
      <c r="C134" s="122">
        <f>D134+E134+F134</f>
        <v>0</v>
      </c>
      <c r="D134" s="27"/>
      <c r="E134" s="27"/>
      <c r="F134" s="27"/>
      <c r="G134" s="27"/>
      <c r="H134" s="27"/>
      <c r="I134" s="27"/>
      <c r="J134" s="27"/>
      <c r="K134" s="125">
        <f>C134+H134</f>
        <v>0</v>
      </c>
      <c r="L134" s="312"/>
      <c r="M134" s="24">
        <f t="shared" si="5"/>
        <v>0</v>
      </c>
    </row>
    <row r="135" spans="1:13" s="18" customFormat="1" ht="76.5">
      <c r="A135" s="66" t="s">
        <v>285</v>
      </c>
      <c r="B135" s="46" t="s">
        <v>466</v>
      </c>
      <c r="C135" s="122">
        <f>D135+E135+F135</f>
        <v>36787.3</v>
      </c>
      <c r="D135" s="27"/>
      <c r="E135" s="27"/>
      <c r="F135" s="27">
        <v>36787.3</v>
      </c>
      <c r="G135" s="27"/>
      <c r="H135" s="27"/>
      <c r="I135" s="27"/>
      <c r="J135" s="27"/>
      <c r="K135" s="125">
        <f t="shared" si="14"/>
        <v>36787.3</v>
      </c>
      <c r="L135" s="312">
        <v>36787.3</v>
      </c>
      <c r="M135" s="24">
        <f t="shared" si="5"/>
        <v>0</v>
      </c>
    </row>
    <row r="136" spans="1:15" s="18" customFormat="1" ht="38.25">
      <c r="A136" s="350" t="s">
        <v>40</v>
      </c>
      <c r="B136" s="67" t="s">
        <v>175</v>
      </c>
      <c r="C136" s="122">
        <f>D136+E136+F136+G136</f>
        <v>9409.4</v>
      </c>
      <c r="D136" s="27"/>
      <c r="E136" s="27"/>
      <c r="F136" s="27">
        <f>SUM(F137:F154)</f>
        <v>9409.4</v>
      </c>
      <c r="G136" s="27">
        <f>SUM(G137:G145)</f>
        <v>0</v>
      </c>
      <c r="H136" s="27">
        <f>SUM(H137:H151)</f>
        <v>9665.1</v>
      </c>
      <c r="I136" s="27"/>
      <c r="J136" s="27"/>
      <c r="K136" s="125">
        <f>C136+H136</f>
        <v>19074.5</v>
      </c>
      <c r="L136" s="314">
        <f>19899.5-K136</f>
        <v>825</v>
      </c>
      <c r="M136" s="24">
        <f t="shared" si="5"/>
        <v>-8584.4</v>
      </c>
      <c r="N136" s="18">
        <f>5105.5-50-1000+1025+2000+460</f>
        <v>7540.5</v>
      </c>
      <c r="O136" s="18">
        <f>12819+N136</f>
        <v>20359.5</v>
      </c>
    </row>
    <row r="137" spans="1:13" s="18" customFormat="1" ht="25.5" hidden="1">
      <c r="A137" s="342"/>
      <c r="B137" s="67" t="s">
        <v>190</v>
      </c>
      <c r="C137" s="122">
        <f>D137+E137+F137+G137</f>
        <v>0</v>
      </c>
      <c r="D137" s="27"/>
      <c r="E137" s="27"/>
      <c r="F137" s="27"/>
      <c r="G137" s="27"/>
      <c r="H137" s="27"/>
      <c r="I137" s="27"/>
      <c r="J137" s="27"/>
      <c r="K137" s="125">
        <f t="shared" si="14"/>
        <v>0</v>
      </c>
      <c r="L137" s="312"/>
      <c r="M137" s="24">
        <f t="shared" si="5"/>
        <v>0</v>
      </c>
    </row>
    <row r="138" spans="1:13" s="18" customFormat="1" ht="12.75" hidden="1">
      <c r="A138" s="342"/>
      <c r="B138" s="67" t="s">
        <v>171</v>
      </c>
      <c r="C138" s="122">
        <f>D138+E138+F138+G138</f>
        <v>0</v>
      </c>
      <c r="D138" s="27"/>
      <c r="E138" s="27"/>
      <c r="F138" s="27"/>
      <c r="G138" s="27"/>
      <c r="H138" s="27"/>
      <c r="I138" s="27"/>
      <c r="J138" s="27"/>
      <c r="K138" s="125"/>
      <c r="L138" s="312"/>
      <c r="M138" s="24">
        <f t="shared" si="5"/>
        <v>0</v>
      </c>
    </row>
    <row r="139" spans="1:13" s="18" customFormat="1" ht="12.75" hidden="1">
      <c r="A139" s="342"/>
      <c r="B139" s="67" t="s">
        <v>191</v>
      </c>
      <c r="C139" s="122">
        <f>D139+E139+F139+G139</f>
        <v>0</v>
      </c>
      <c r="D139" s="27"/>
      <c r="E139" s="27"/>
      <c r="F139" s="22"/>
      <c r="G139" s="27"/>
      <c r="H139" s="27"/>
      <c r="I139" s="27"/>
      <c r="J139" s="27"/>
      <c r="K139" s="125">
        <f t="shared" si="14"/>
        <v>0</v>
      </c>
      <c r="L139" s="312"/>
      <c r="M139" s="24">
        <f t="shared" si="5"/>
        <v>0</v>
      </c>
    </row>
    <row r="140" spans="1:13" s="18" customFormat="1" ht="12.75" hidden="1">
      <c r="A140" s="342"/>
      <c r="B140" s="67" t="s">
        <v>176</v>
      </c>
      <c r="C140" s="122">
        <f>D140+E140+F140+G140</f>
        <v>0</v>
      </c>
      <c r="D140" s="27"/>
      <c r="E140" s="27"/>
      <c r="F140" s="22"/>
      <c r="G140" s="27"/>
      <c r="H140" s="27"/>
      <c r="I140" s="27"/>
      <c r="J140" s="27"/>
      <c r="K140" s="125">
        <f t="shared" si="14"/>
        <v>0</v>
      </c>
      <c r="L140" s="312"/>
      <c r="M140" s="24">
        <f t="shared" si="5"/>
        <v>0</v>
      </c>
    </row>
    <row r="141" spans="1:13" s="18" customFormat="1" ht="12.75" hidden="1">
      <c r="A141" s="342"/>
      <c r="B141" s="67" t="s">
        <v>177</v>
      </c>
      <c r="C141" s="122">
        <f aca="true" t="shared" si="15" ref="C141:C146">D141+E141+F141</f>
        <v>0</v>
      </c>
      <c r="D141" s="27"/>
      <c r="E141" s="27"/>
      <c r="F141" s="22"/>
      <c r="G141" s="27"/>
      <c r="H141" s="27"/>
      <c r="I141" s="27"/>
      <c r="J141" s="27"/>
      <c r="K141" s="125">
        <f t="shared" si="14"/>
        <v>0</v>
      </c>
      <c r="L141" s="312"/>
      <c r="M141" s="24">
        <f t="shared" si="5"/>
        <v>0</v>
      </c>
    </row>
    <row r="142" spans="1:13" s="18" customFormat="1" ht="38.25" hidden="1">
      <c r="A142" s="342"/>
      <c r="B142" s="67" t="s">
        <v>166</v>
      </c>
      <c r="C142" s="122">
        <f t="shared" si="15"/>
        <v>0</v>
      </c>
      <c r="D142" s="27"/>
      <c r="E142" s="27"/>
      <c r="F142" s="27"/>
      <c r="G142" s="27"/>
      <c r="H142" s="27"/>
      <c r="I142" s="27"/>
      <c r="J142" s="27"/>
      <c r="K142" s="125">
        <f t="shared" si="14"/>
        <v>0</v>
      </c>
      <c r="L142" s="312"/>
      <c r="M142" s="24">
        <f aca="true" t="shared" si="16" ref="M142:M161">L142-C142</f>
        <v>0</v>
      </c>
    </row>
    <row r="143" spans="1:13" s="18" customFormat="1" ht="12.75" hidden="1">
      <c r="A143" s="342"/>
      <c r="B143" s="67" t="s">
        <v>642</v>
      </c>
      <c r="C143" s="122">
        <f t="shared" si="15"/>
        <v>0</v>
      </c>
      <c r="D143" s="27"/>
      <c r="E143" s="27"/>
      <c r="F143" s="27"/>
      <c r="G143" s="27"/>
      <c r="H143" s="27"/>
      <c r="I143" s="27"/>
      <c r="J143" s="27"/>
      <c r="K143" s="125">
        <f t="shared" si="14"/>
        <v>0</v>
      </c>
      <c r="L143" s="312"/>
      <c r="M143" s="24">
        <f t="shared" si="16"/>
        <v>0</v>
      </c>
    </row>
    <row r="144" spans="1:13" s="18" customFormat="1" ht="25.5" hidden="1">
      <c r="A144" s="342"/>
      <c r="B144" s="67" t="s">
        <v>259</v>
      </c>
      <c r="C144" s="122">
        <f t="shared" si="15"/>
        <v>0</v>
      </c>
      <c r="D144" s="27"/>
      <c r="E144" s="27"/>
      <c r="F144" s="27">
        <f>460-460</f>
        <v>0</v>
      </c>
      <c r="G144" s="27"/>
      <c r="H144" s="27"/>
      <c r="I144" s="27"/>
      <c r="J144" s="27"/>
      <c r="K144" s="125">
        <f t="shared" si="14"/>
        <v>0</v>
      </c>
      <c r="L144" s="312"/>
      <c r="M144" s="24">
        <f t="shared" si="16"/>
        <v>0</v>
      </c>
    </row>
    <row r="145" spans="1:13" s="18" customFormat="1" ht="25.5" hidden="1">
      <c r="A145" s="342"/>
      <c r="B145" s="67" t="s">
        <v>53</v>
      </c>
      <c r="C145" s="122">
        <f t="shared" si="15"/>
        <v>0</v>
      </c>
      <c r="D145" s="27"/>
      <c r="E145" s="27"/>
      <c r="F145" s="27"/>
      <c r="G145" s="27"/>
      <c r="H145" s="27"/>
      <c r="I145" s="27"/>
      <c r="J145" s="27"/>
      <c r="K145" s="125">
        <f t="shared" si="14"/>
        <v>0</v>
      </c>
      <c r="L145" s="312"/>
      <c r="M145" s="24">
        <f t="shared" si="16"/>
        <v>0</v>
      </c>
    </row>
    <row r="146" spans="1:13" s="18" customFormat="1" ht="12.75" hidden="1">
      <c r="A146" s="342"/>
      <c r="B146" s="67"/>
      <c r="C146" s="122">
        <f t="shared" si="15"/>
        <v>0</v>
      </c>
      <c r="D146" s="27"/>
      <c r="E146" s="27"/>
      <c r="F146" s="27"/>
      <c r="G146" s="27"/>
      <c r="H146" s="27"/>
      <c r="I146" s="27"/>
      <c r="J146" s="27"/>
      <c r="K146" s="125">
        <f t="shared" si="14"/>
        <v>0</v>
      </c>
      <c r="L146" s="312"/>
      <c r="M146" s="24">
        <f t="shared" si="16"/>
        <v>0</v>
      </c>
    </row>
    <row r="147" spans="1:13" s="18" customFormat="1" ht="25.5">
      <c r="A147" s="342"/>
      <c r="B147" s="67" t="s">
        <v>342</v>
      </c>
      <c r="C147" s="122"/>
      <c r="D147" s="27"/>
      <c r="E147" s="27"/>
      <c r="F147" s="27"/>
      <c r="G147" s="27"/>
      <c r="H147" s="27">
        <v>1605.1</v>
      </c>
      <c r="I147" s="27"/>
      <c r="J147" s="27"/>
      <c r="K147" s="125">
        <f t="shared" si="14"/>
        <v>1605.1</v>
      </c>
      <c r="L147" s="312"/>
      <c r="M147" s="24"/>
    </row>
    <row r="148" spans="1:15" ht="51">
      <c r="A148" s="342"/>
      <c r="B148" s="17" t="s">
        <v>643</v>
      </c>
      <c r="C148" s="27">
        <f>D148+E148+F148</f>
        <v>3000</v>
      </c>
      <c r="D148" s="144"/>
      <c r="E148" s="144"/>
      <c r="F148" s="27">
        <v>3000</v>
      </c>
      <c r="G148" s="144"/>
      <c r="H148" s="27"/>
      <c r="I148" s="27"/>
      <c r="J148" s="27"/>
      <c r="K148" s="61">
        <f t="shared" si="14"/>
        <v>3000</v>
      </c>
      <c r="L148" s="260"/>
      <c r="M148" s="24"/>
      <c r="N148" s="260"/>
      <c r="O148" s="22"/>
    </row>
    <row r="149" spans="1:13" s="18" customFormat="1" ht="25.5">
      <c r="A149" s="342"/>
      <c r="B149" s="67" t="s">
        <v>78</v>
      </c>
      <c r="C149" s="27">
        <v>153.9</v>
      </c>
      <c r="D149" s="27"/>
      <c r="E149" s="27"/>
      <c r="F149" s="27">
        <v>153.9</v>
      </c>
      <c r="G149" s="27"/>
      <c r="H149" s="27"/>
      <c r="I149" s="27"/>
      <c r="J149" s="27"/>
      <c r="K149" s="125">
        <f t="shared" si="14"/>
        <v>153.9</v>
      </c>
      <c r="L149" s="312"/>
      <c r="M149" s="24"/>
    </row>
    <row r="150" spans="1:13" s="18" customFormat="1" ht="38.25" hidden="1">
      <c r="A150" s="342"/>
      <c r="B150" s="67" t="s">
        <v>528</v>
      </c>
      <c r="C150" s="27">
        <f>D150+E150+F150</f>
        <v>0</v>
      </c>
      <c r="D150" s="27"/>
      <c r="E150" s="27"/>
      <c r="F150" s="27"/>
      <c r="G150" s="27"/>
      <c r="H150" s="27"/>
      <c r="I150" s="27"/>
      <c r="J150" s="27"/>
      <c r="K150" s="125">
        <f t="shared" si="14"/>
        <v>0</v>
      </c>
      <c r="L150" s="312"/>
      <c r="M150" s="24"/>
    </row>
    <row r="151" spans="1:16" s="18" customFormat="1" ht="38.25">
      <c r="A151" s="342"/>
      <c r="B151" s="67" t="s">
        <v>130</v>
      </c>
      <c r="C151" s="27"/>
      <c r="D151" s="27"/>
      <c r="E151" s="27"/>
      <c r="F151" s="27"/>
      <c r="G151" s="27"/>
      <c r="H151" s="27">
        <f>1000+7060</f>
        <v>8060</v>
      </c>
      <c r="I151" s="27"/>
      <c r="J151" s="27"/>
      <c r="K151" s="69">
        <f t="shared" si="14"/>
        <v>8060</v>
      </c>
      <c r="L151" s="260"/>
      <c r="M151" s="24"/>
      <c r="N151" s="260"/>
      <c r="O151" s="22"/>
      <c r="P151" s="3"/>
    </row>
    <row r="152" spans="1:16" s="18" customFormat="1" ht="38.25">
      <c r="A152" s="342"/>
      <c r="B152" s="67" t="s">
        <v>186</v>
      </c>
      <c r="C152" s="122">
        <f>F152</f>
        <v>4255.5</v>
      </c>
      <c r="D152" s="27"/>
      <c r="E152" s="27"/>
      <c r="F152" s="27">
        <f>5105.5-50-1000+200</f>
        <v>4255.5</v>
      </c>
      <c r="G152" s="27"/>
      <c r="H152" s="27"/>
      <c r="I152" s="27"/>
      <c r="J152" s="27"/>
      <c r="K152" s="69">
        <f t="shared" si="14"/>
        <v>4255.5</v>
      </c>
      <c r="L152" s="260"/>
      <c r="M152" s="24"/>
      <c r="N152" s="196"/>
      <c r="O152" s="196"/>
      <c r="P152" s="3"/>
    </row>
    <row r="153" spans="1:13" ht="38.25" hidden="1">
      <c r="A153" s="342"/>
      <c r="B153" s="17" t="s">
        <v>471</v>
      </c>
      <c r="C153" s="27">
        <f>D153+E153+F153</f>
        <v>0</v>
      </c>
      <c r="D153" s="27"/>
      <c r="E153" s="27"/>
      <c r="F153" s="27">
        <f>1025-1025</f>
        <v>0</v>
      </c>
      <c r="G153" s="27"/>
      <c r="H153" s="27"/>
      <c r="I153" s="27"/>
      <c r="J153" s="27"/>
      <c r="K153" s="59">
        <f t="shared" si="14"/>
        <v>0</v>
      </c>
      <c r="L153" s="311"/>
      <c r="M153" s="24"/>
    </row>
    <row r="154" spans="1:13" ht="38.25">
      <c r="A154" s="343"/>
      <c r="B154" s="17" t="s">
        <v>517</v>
      </c>
      <c r="C154" s="27">
        <f>D154+E154+F154</f>
        <v>2000</v>
      </c>
      <c r="D154" s="27"/>
      <c r="E154" s="27"/>
      <c r="F154" s="27">
        <v>2000</v>
      </c>
      <c r="G154" s="27"/>
      <c r="H154" s="27"/>
      <c r="I154" s="27"/>
      <c r="J154" s="27"/>
      <c r="K154" s="59">
        <f t="shared" si="14"/>
        <v>2000</v>
      </c>
      <c r="L154" s="311"/>
      <c r="M154" s="24"/>
    </row>
    <row r="155" spans="1:13" s="18" customFormat="1" ht="25.5">
      <c r="A155" s="66" t="s">
        <v>534</v>
      </c>
      <c r="B155" s="186" t="s">
        <v>97</v>
      </c>
      <c r="C155" s="122">
        <f aca="true" t="shared" si="17" ref="C155:C163">D155+E155+F155</f>
        <v>17500</v>
      </c>
      <c r="D155" s="27"/>
      <c r="E155" s="27"/>
      <c r="F155" s="27">
        <v>17500</v>
      </c>
      <c r="G155" s="27"/>
      <c r="H155" s="27"/>
      <c r="I155" s="27"/>
      <c r="J155" s="27"/>
      <c r="K155" s="125">
        <f>C155+H155</f>
        <v>17500</v>
      </c>
      <c r="L155" s="312">
        <v>17500</v>
      </c>
      <c r="M155" s="24">
        <f t="shared" si="16"/>
        <v>0</v>
      </c>
    </row>
    <row r="156" spans="1:13" s="18" customFormat="1" ht="25.5">
      <c r="A156" s="124" t="s">
        <v>119</v>
      </c>
      <c r="B156" s="181" t="s">
        <v>479</v>
      </c>
      <c r="C156" s="27">
        <f t="shared" si="17"/>
        <v>54700</v>
      </c>
      <c r="D156" s="27"/>
      <c r="E156" s="27"/>
      <c r="F156" s="27">
        <v>54700</v>
      </c>
      <c r="G156" s="27"/>
      <c r="H156" s="27">
        <v>12500</v>
      </c>
      <c r="I156" s="27">
        <v>12500</v>
      </c>
      <c r="J156" s="27"/>
      <c r="K156" s="61">
        <f t="shared" si="14"/>
        <v>67200</v>
      </c>
      <c r="L156" s="312">
        <v>54700</v>
      </c>
      <c r="M156" s="24">
        <f t="shared" si="16"/>
        <v>0</v>
      </c>
    </row>
    <row r="157" spans="1:13" s="18" customFormat="1" ht="38.25">
      <c r="A157" s="124" t="s">
        <v>118</v>
      </c>
      <c r="B157" s="181" t="s">
        <v>106</v>
      </c>
      <c r="C157" s="27">
        <f t="shared" si="17"/>
        <v>7400</v>
      </c>
      <c r="D157" s="27"/>
      <c r="E157" s="27"/>
      <c r="F157" s="27">
        <v>7400</v>
      </c>
      <c r="G157" s="27"/>
      <c r="H157" s="27">
        <v>14700</v>
      </c>
      <c r="I157" s="27"/>
      <c r="J157" s="27"/>
      <c r="K157" s="61">
        <f>C157+H157</f>
        <v>22100</v>
      </c>
      <c r="L157" s="312">
        <v>7400</v>
      </c>
      <c r="M157" s="24">
        <f t="shared" si="16"/>
        <v>0</v>
      </c>
    </row>
    <row r="158" spans="1:13" s="18" customFormat="1" ht="83.25" customHeight="1">
      <c r="A158" s="66" t="s">
        <v>367</v>
      </c>
      <c r="B158" s="67" t="s">
        <v>127</v>
      </c>
      <c r="C158" s="27">
        <f t="shared" si="17"/>
        <v>3232.4000000000005</v>
      </c>
      <c r="D158" s="27"/>
      <c r="E158" s="27"/>
      <c r="F158" s="27">
        <f>1532.7+75+1450.4+174.3</f>
        <v>3232.4000000000005</v>
      </c>
      <c r="G158" s="27"/>
      <c r="H158" s="27"/>
      <c r="I158" s="27"/>
      <c r="J158" s="27"/>
      <c r="K158" s="61">
        <f>C158+H158</f>
        <v>3232.4000000000005</v>
      </c>
      <c r="L158" s="312">
        <f>3058.1</f>
        <v>3058.1</v>
      </c>
      <c r="M158" s="24">
        <f t="shared" si="16"/>
        <v>-174.30000000000064</v>
      </c>
    </row>
    <row r="159" spans="1:13" s="18" customFormat="1" ht="55.5" customHeight="1">
      <c r="A159" s="66" t="s">
        <v>120</v>
      </c>
      <c r="B159" s="181" t="s">
        <v>102</v>
      </c>
      <c r="C159" s="27">
        <f t="shared" si="17"/>
        <v>1632.1999999999998</v>
      </c>
      <c r="D159" s="27"/>
      <c r="E159" s="27"/>
      <c r="F159" s="27">
        <f>5470-3837.8</f>
        <v>1632.1999999999998</v>
      </c>
      <c r="G159" s="27"/>
      <c r="H159" s="27">
        <v>563.8</v>
      </c>
      <c r="I159" s="27"/>
      <c r="J159" s="27"/>
      <c r="K159" s="61">
        <f t="shared" si="14"/>
        <v>2196</v>
      </c>
      <c r="L159" s="312">
        <v>1632.2</v>
      </c>
      <c r="M159" s="24">
        <f t="shared" si="16"/>
        <v>0</v>
      </c>
    </row>
    <row r="160" spans="1:13" s="18" customFormat="1" ht="12.75">
      <c r="A160" s="66" t="s">
        <v>51</v>
      </c>
      <c r="B160" s="67" t="s">
        <v>608</v>
      </c>
      <c r="C160" s="27">
        <f t="shared" si="17"/>
        <v>25475.7</v>
      </c>
      <c r="D160" s="27"/>
      <c r="E160" s="27"/>
      <c r="F160" s="27">
        <f>3000+2100+8300+600+5000+1320+500-5000+250+600+700+850+400+250+300+100+385+480+3710.7+1000+500+130</f>
        <v>25475.7</v>
      </c>
      <c r="G160" s="27"/>
      <c r="H160" s="27"/>
      <c r="I160" s="27"/>
      <c r="J160" s="27"/>
      <c r="K160" s="61">
        <f t="shared" si="14"/>
        <v>25475.7</v>
      </c>
      <c r="L160" s="315">
        <f>18870</f>
        <v>18870</v>
      </c>
      <c r="M160" s="24">
        <f t="shared" si="16"/>
        <v>-6605.700000000001</v>
      </c>
    </row>
    <row r="161" spans="1:13" s="18" customFormat="1" ht="59.25" customHeight="1">
      <c r="A161" s="66" t="s">
        <v>286</v>
      </c>
      <c r="B161" s="67" t="s">
        <v>248</v>
      </c>
      <c r="C161" s="27">
        <f t="shared" si="17"/>
        <v>500</v>
      </c>
      <c r="D161" s="27"/>
      <c r="E161" s="27"/>
      <c r="F161" s="27">
        <v>500</v>
      </c>
      <c r="G161" s="27"/>
      <c r="H161" s="27"/>
      <c r="I161" s="27"/>
      <c r="J161" s="27"/>
      <c r="K161" s="61">
        <f t="shared" si="14"/>
        <v>500</v>
      </c>
      <c r="L161" s="312">
        <v>500</v>
      </c>
      <c r="M161" s="24">
        <f t="shared" si="16"/>
        <v>0</v>
      </c>
    </row>
    <row r="162" spans="1:13" s="18" customFormat="1" ht="39" thickBot="1">
      <c r="A162" s="304" t="s">
        <v>262</v>
      </c>
      <c r="B162" s="305" t="s">
        <v>183</v>
      </c>
      <c r="C162" s="306">
        <f t="shared" si="17"/>
        <v>117.5</v>
      </c>
      <c r="D162" s="306"/>
      <c r="E162" s="306"/>
      <c r="F162" s="306">
        <f>41.6+21.7+28.8+25.4</f>
        <v>117.5</v>
      </c>
      <c r="G162" s="306"/>
      <c r="H162" s="306"/>
      <c r="I162" s="306"/>
      <c r="J162" s="306"/>
      <c r="K162" s="307">
        <f t="shared" si="14"/>
        <v>117.5</v>
      </c>
      <c r="L162" s="312">
        <f>63.3</f>
        <v>63.3</v>
      </c>
      <c r="M162" s="24">
        <f>L162-C162</f>
        <v>-54.2</v>
      </c>
    </row>
    <row r="163" spans="1:59" ht="89.25" hidden="1">
      <c r="A163" s="300" t="s">
        <v>243</v>
      </c>
      <c r="B163" s="301" t="s">
        <v>244</v>
      </c>
      <c r="C163" s="302">
        <f t="shared" si="17"/>
        <v>0</v>
      </c>
      <c r="D163" s="302"/>
      <c r="E163" s="302"/>
      <c r="F163" s="302"/>
      <c r="G163" s="302"/>
      <c r="H163" s="302"/>
      <c r="I163" s="302"/>
      <c r="J163" s="302"/>
      <c r="K163" s="303">
        <f>C163+H163</f>
        <v>0</v>
      </c>
      <c r="L163" s="313"/>
      <c r="M163" s="30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1:13" s="18" customFormat="1" ht="13.5" thickBot="1">
      <c r="A164" s="372" t="s">
        <v>328</v>
      </c>
      <c r="B164" s="373"/>
      <c r="C164" s="72">
        <f>C131+C129+C128+C127+C126+C124+C123+C118+C130+C160+C125+C135+C161+C121+C119+C120+C136+C122+C159+C134+C132+C158+C156+C157+C155+C162+C133</f>
        <v>3316494.089</v>
      </c>
      <c r="D164" s="72">
        <f>D131+D129+D128+D127+D126+D124+D123+D118+D130+D160+D125+D135+D161+D121+D119+D120+D136+D122+D159+D134+D132+D158+D156+D157+D155</f>
        <v>396449.9</v>
      </c>
      <c r="E164" s="72">
        <f>E131+E129+E128+E127+E126+E124+E123+E118+E130+E160+E125+E135+E161+E121+E119+E120+E136+E122+E159+E134+E132+E158+E156+E157+E155</f>
        <v>96510.9</v>
      </c>
      <c r="F164" s="72">
        <f>F131+F129+F128+F127+F126+F124+F123+F118+F130+F160+F125+F135+F161+F121+F10+F1465+F120+F136+F122+F159+F134+F132+F158+F156+F157+F155+F162+F119+F133</f>
        <v>2810296.6</v>
      </c>
      <c r="G164" s="72">
        <f>G131+G129+G128+G127+G126+G124+G123+G118+G130+G160+G125+G135+G161+G121+G119+G120+G136+G122+G159+G134+G132+G158+G156+G157+G155</f>
        <v>13236.688999999998</v>
      </c>
      <c r="H164" s="72">
        <f>H131+H129+H128+H127+H126+H124+H123+H118+H130+H160+H125+H135+H161+H121+H119+H120+H136+H122+H159+H134+H132+H158+H156+H157+H155+H163</f>
        <v>689430.7999999999</v>
      </c>
      <c r="I164" s="72">
        <f>I131+I129+I128+I127+I126+I124+I123+I118+I130+I160+I125+I135+I161+I121+I119+I120+I136+I122+I159+I134+I132+I158+I156+I157+I155</f>
        <v>452237.89999999997</v>
      </c>
      <c r="J164" s="72">
        <f>J131+J129+J128+J127+J126+J124+J123+J118+J130+J160+J125+J135+J161+J121+J119+J120+J136+J122+J159+J134+J132+J158+J156+J157+J155</f>
        <v>2845.3</v>
      </c>
      <c r="K164" s="212">
        <f>K131+K129+K128+K127+K126+K124+K123+K118+K130+K160+K125+K135+K161+K121+K119+K120+K136+K122+K159+K134+K132+K158+K156+K157+K155+K163+K162+K133</f>
        <v>4005924.889</v>
      </c>
      <c r="L164" s="314">
        <f>3806598.1</f>
        <v>3806598.1</v>
      </c>
      <c r="M164" s="309" t="s">
        <v>80</v>
      </c>
    </row>
    <row r="165" spans="2:13" ht="12.75">
      <c r="B165" s="50"/>
      <c r="C165" s="320">
        <f>'№1'!C85</f>
        <v>3316494.089</v>
      </c>
      <c r="D165" s="320"/>
      <c r="E165" s="320"/>
      <c r="F165" s="320"/>
      <c r="G165" s="320"/>
      <c r="H165" s="320">
        <f>'№1'!D85</f>
        <v>689430.7999999999</v>
      </c>
      <c r="I165" s="320">
        <f>'№1'!E85</f>
        <v>452237.89999999997</v>
      </c>
      <c r="J165" s="320"/>
      <c r="K165" s="320">
        <f>'№1'!F85</f>
        <v>4005924.889</v>
      </c>
      <c r="L165" s="317">
        <f>61564.3+28.8+25.4+174.3+60000+81879.9-5015.9+700+300-460+130</f>
        <v>199326.80000000002</v>
      </c>
      <c r="M165" s="318">
        <f>57705.9+28.8+25.4+174.3+60000+59691.6+11886.3</f>
        <v>189512.3</v>
      </c>
    </row>
    <row r="166" spans="2:13" ht="12.75" hidden="1">
      <c r="B166" s="50"/>
      <c r="C166" s="319"/>
      <c r="D166" s="319"/>
      <c r="E166" s="319"/>
      <c r="F166" s="319"/>
      <c r="G166" s="319"/>
      <c r="H166" s="319"/>
      <c r="I166" s="319"/>
      <c r="J166" s="319"/>
      <c r="K166" s="319"/>
      <c r="L166" s="71"/>
      <c r="M166" s="71"/>
    </row>
    <row r="167" spans="2:13" ht="12.75">
      <c r="B167" s="50"/>
      <c r="C167" s="319">
        <f aca="true" t="shared" si="18" ref="C167:J167">C165-C164</f>
        <v>0</v>
      </c>
      <c r="D167" s="319"/>
      <c r="E167" s="319"/>
      <c r="F167" s="319"/>
      <c r="G167" s="319"/>
      <c r="H167" s="319">
        <f t="shared" si="18"/>
        <v>0</v>
      </c>
      <c r="I167" s="319">
        <f t="shared" si="18"/>
        <v>0</v>
      </c>
      <c r="J167" s="319">
        <f t="shared" si="18"/>
        <v>-2845.3</v>
      </c>
      <c r="K167" s="319">
        <f>K165-K164</f>
        <v>0</v>
      </c>
      <c r="L167" s="22">
        <f>L164+L165</f>
        <v>4005924.9</v>
      </c>
      <c r="M167" s="71" t="s">
        <v>81</v>
      </c>
    </row>
    <row r="168" spans="2:13" ht="12.75">
      <c r="B168" s="50"/>
      <c r="C168" s="22"/>
      <c r="D168" s="22"/>
      <c r="E168" s="22"/>
      <c r="F168" s="22"/>
      <c r="G168" s="22"/>
      <c r="H168" s="22"/>
      <c r="I168" s="22"/>
      <c r="J168" s="22"/>
      <c r="K168" s="71"/>
      <c r="L168" s="22">
        <f>L167-K164</f>
        <v>0.010999999940395355</v>
      </c>
      <c r="M168" s="71"/>
    </row>
    <row r="169" spans="2:9" ht="12.75">
      <c r="B169" s="50"/>
      <c r="C169" s="29"/>
      <c r="H169" s="29"/>
      <c r="I169" s="29"/>
    </row>
    <row r="170" spans="2:11" ht="12.75">
      <c r="B170" s="50"/>
      <c r="C170" s="29"/>
      <c r="D170" s="29"/>
      <c r="E170" s="29"/>
      <c r="F170" s="29"/>
      <c r="G170" s="29"/>
      <c r="H170" s="29"/>
      <c r="I170" s="29"/>
      <c r="K170" s="29"/>
    </row>
    <row r="171" spans="2:11" ht="12.75">
      <c r="B171" s="50"/>
      <c r="C171" s="29"/>
      <c r="D171" s="29"/>
      <c r="E171" s="29"/>
      <c r="F171" s="29"/>
      <c r="G171" s="29"/>
      <c r="H171" s="29"/>
      <c r="K171" s="29"/>
    </row>
    <row r="172" spans="2:12" ht="12.75">
      <c r="B172" s="50"/>
      <c r="C172" s="30"/>
      <c r="G172" s="3">
        <v>13056.3</v>
      </c>
      <c r="L172" s="29"/>
    </row>
    <row r="173" spans="2:7" ht="12.75">
      <c r="B173" s="50"/>
      <c r="C173" s="29"/>
      <c r="G173" s="29">
        <f>G172-G164</f>
        <v>-180.3889999999992</v>
      </c>
    </row>
    <row r="174" ht="12.75">
      <c r="B174" s="50"/>
    </row>
    <row r="175" spans="2:8" ht="12.75">
      <c r="B175" s="50"/>
      <c r="H175" s="29"/>
    </row>
    <row r="176" spans="2:8" ht="12.75">
      <c r="B176" s="50"/>
      <c r="H176" s="29"/>
    </row>
    <row r="177" ht="12.75">
      <c r="B177" s="50"/>
    </row>
    <row r="178" spans="2:8" ht="12.75">
      <c r="B178" s="50"/>
      <c r="H178" s="29"/>
    </row>
    <row r="179" spans="2:8" ht="12.75">
      <c r="B179" s="50"/>
      <c r="H179" s="29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 t="s">
        <v>317</v>
      </c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/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 t="s">
        <v>175</v>
      </c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228" ht="12.75">
      <c r="B228" s="50"/>
    </row>
    <row r="229" ht="12.75">
      <c r="B229" s="50"/>
    </row>
    <row r="230" ht="12.75">
      <c r="B230" s="50"/>
    </row>
    <row r="231" ht="12.75">
      <c r="B231" s="50"/>
    </row>
    <row r="232" ht="12.75">
      <c r="B232" s="50"/>
    </row>
    <row r="233" ht="12.75">
      <c r="B233" s="50"/>
    </row>
    <row r="234" ht="12.75">
      <c r="B234" s="50"/>
    </row>
    <row r="235" ht="12.75">
      <c r="B235" s="50"/>
    </row>
    <row r="236" ht="12.75">
      <c r="B236" s="50"/>
    </row>
    <row r="237" ht="12.75">
      <c r="B237" s="50"/>
    </row>
    <row r="238" ht="12.75">
      <c r="B238" s="50"/>
    </row>
    <row r="239" ht="12.75">
      <c r="B239" s="50"/>
    </row>
    <row r="240" ht="12.75">
      <c r="B240" s="50"/>
    </row>
    <row r="241" ht="12.75">
      <c r="B241" s="50"/>
    </row>
    <row r="242" ht="12.75">
      <c r="B242" s="50"/>
    </row>
    <row r="243" ht="12.75">
      <c r="B243" s="50"/>
    </row>
    <row r="244" ht="12.75">
      <c r="B244" s="50"/>
    </row>
    <row r="245" ht="12.75">
      <c r="B245" s="50"/>
    </row>
    <row r="246" ht="12.75">
      <c r="B246" s="50"/>
    </row>
    <row r="247" ht="12.75">
      <c r="B247" s="50"/>
    </row>
    <row r="248" ht="12.75">
      <c r="B248" s="50"/>
    </row>
    <row r="249" ht="12.75">
      <c r="B249" s="50"/>
    </row>
    <row r="250" ht="12.75">
      <c r="B250" s="50"/>
    </row>
    <row r="251" ht="12.75">
      <c r="B251" s="50"/>
    </row>
    <row r="252" ht="12.75">
      <c r="B252" s="50"/>
    </row>
    <row r="253" ht="12.75">
      <c r="B253" s="50"/>
    </row>
    <row r="254" ht="12.75">
      <c r="B254" s="50"/>
    </row>
    <row r="255" ht="12.75">
      <c r="B255" s="50"/>
    </row>
    <row r="256" ht="12.75">
      <c r="B256" s="50"/>
    </row>
    <row r="257" ht="12.75">
      <c r="B257" s="50"/>
    </row>
    <row r="258" ht="12.75">
      <c r="B258" s="50"/>
    </row>
    <row r="259" ht="12.75">
      <c r="B259" s="50"/>
    </row>
    <row r="260" ht="12.75">
      <c r="B260" s="50"/>
    </row>
    <row r="261" ht="12.75">
      <c r="B261" s="50"/>
    </row>
    <row r="262" ht="12.75">
      <c r="B262" s="50"/>
    </row>
    <row r="263" ht="12.75">
      <c r="B263" s="50"/>
    </row>
    <row r="264" ht="12.75">
      <c r="B264" s="50"/>
    </row>
    <row r="265" ht="12.75">
      <c r="B265" s="50"/>
    </row>
    <row r="266" ht="12.75">
      <c r="B266" s="50"/>
    </row>
    <row r="267" ht="12.75">
      <c r="B267" s="50"/>
    </row>
    <row r="268" ht="12.75">
      <c r="B268" s="50"/>
    </row>
    <row r="269" ht="12.75">
      <c r="B269" s="50"/>
    </row>
    <row r="270" ht="12.75">
      <c r="B270" s="50"/>
    </row>
    <row r="271" ht="12.75">
      <c r="B271" s="50"/>
    </row>
    <row r="272" ht="12.75">
      <c r="B272" s="50"/>
    </row>
    <row r="273" ht="12.75">
      <c r="B273" s="50"/>
    </row>
    <row r="274" ht="12.75">
      <c r="B274" s="50"/>
    </row>
    <row r="275" ht="12.75">
      <c r="B275" s="50"/>
    </row>
    <row r="276" ht="12.75">
      <c r="B276" s="50"/>
    </row>
    <row r="277" ht="12.75">
      <c r="B277" s="50"/>
    </row>
    <row r="278" ht="12.75">
      <c r="B278" s="50"/>
    </row>
    <row r="279" ht="12.75">
      <c r="B279" s="50"/>
    </row>
    <row r="280" ht="12.75">
      <c r="B280" s="50"/>
    </row>
    <row r="281" ht="12.75">
      <c r="B281" s="50"/>
    </row>
    <row r="282" ht="12.75">
      <c r="B282" s="50"/>
    </row>
    <row r="283" ht="12.75">
      <c r="B283" s="50"/>
    </row>
    <row r="284" ht="12.75">
      <c r="B284" s="50"/>
    </row>
    <row r="285" ht="12.75">
      <c r="B285" s="50"/>
    </row>
    <row r="286" ht="12.75">
      <c r="B286" s="50"/>
    </row>
    <row r="287" ht="12.75">
      <c r="B287" s="50"/>
    </row>
    <row r="288" ht="12.75">
      <c r="B288" s="50"/>
    </row>
    <row r="289" ht="12.75">
      <c r="B289" s="50"/>
    </row>
    <row r="290" ht="12.75">
      <c r="B290" s="50"/>
    </row>
    <row r="291" ht="12.75">
      <c r="B291" s="50"/>
    </row>
    <row r="292" ht="12.75">
      <c r="B292" s="50"/>
    </row>
    <row r="293" ht="12.75">
      <c r="B293" s="50"/>
    </row>
    <row r="294" ht="12.75">
      <c r="B294" s="50"/>
    </row>
    <row r="295" ht="12.75">
      <c r="B295" s="50"/>
    </row>
    <row r="296" ht="12.75">
      <c r="B296" s="50"/>
    </row>
    <row r="297" ht="12.75">
      <c r="B297" s="50"/>
    </row>
    <row r="298" ht="12.75">
      <c r="B298" s="50"/>
    </row>
    <row r="299" ht="12.75">
      <c r="B299" s="50"/>
    </row>
    <row r="300" ht="12.75">
      <c r="B300" s="50"/>
    </row>
    <row r="301" ht="12.75">
      <c r="B301" s="50"/>
    </row>
    <row r="302" ht="12.75">
      <c r="B302" s="50"/>
    </row>
    <row r="303" ht="12.75">
      <c r="B303" s="50"/>
    </row>
    <row r="304" ht="12.75">
      <c r="B304" s="50"/>
    </row>
    <row r="305" ht="12.75">
      <c r="B305" s="50"/>
    </row>
    <row r="306" ht="12.75">
      <c r="B306" s="50"/>
    </row>
    <row r="307" ht="12.75">
      <c r="B307" s="50"/>
    </row>
    <row r="308" ht="12.75">
      <c r="B308" s="50"/>
    </row>
    <row r="309" ht="12.75">
      <c r="B309" s="50"/>
    </row>
    <row r="310" ht="12.75">
      <c r="B310" s="50"/>
    </row>
    <row r="311" ht="12.75">
      <c r="B311" s="50"/>
    </row>
    <row r="312" ht="12.75">
      <c r="B312" s="50"/>
    </row>
    <row r="313" ht="12.75">
      <c r="B313" s="50"/>
    </row>
    <row r="314" ht="12.75">
      <c r="B314" s="50"/>
    </row>
    <row r="315" ht="12.75">
      <c r="B315" s="50"/>
    </row>
    <row r="316" ht="12.75">
      <c r="B316" s="50"/>
    </row>
    <row r="317" ht="12.75">
      <c r="B317" s="50"/>
    </row>
    <row r="318" ht="12.75">
      <c r="B318" s="50"/>
    </row>
    <row r="319" ht="12.75">
      <c r="B319" s="50"/>
    </row>
    <row r="320" ht="12.75">
      <c r="B320" s="50"/>
    </row>
    <row r="321" ht="12.75">
      <c r="B321" s="50"/>
    </row>
    <row r="322" ht="12.75">
      <c r="B322" s="50"/>
    </row>
    <row r="323" ht="12.75">
      <c r="B323" s="50"/>
    </row>
    <row r="324" ht="12.75">
      <c r="B324" s="50"/>
    </row>
    <row r="325" ht="12.75">
      <c r="B325" s="50"/>
    </row>
    <row r="326" ht="12.75">
      <c r="B326" s="50"/>
    </row>
    <row r="327" ht="12.75">
      <c r="B327" s="50"/>
    </row>
    <row r="328" ht="12.75">
      <c r="B328" s="50"/>
    </row>
    <row r="329" ht="12.75">
      <c r="B329" s="50"/>
    </row>
    <row r="330" ht="12.75">
      <c r="B330" s="50"/>
    </row>
    <row r="331" ht="12.75">
      <c r="B331" s="50"/>
    </row>
    <row r="332" ht="12.75">
      <c r="B332" s="50"/>
    </row>
    <row r="333" ht="12.75">
      <c r="B333" s="50"/>
    </row>
    <row r="334" ht="12.75">
      <c r="B334" s="50"/>
    </row>
    <row r="335" ht="12.75">
      <c r="B335" s="50"/>
    </row>
    <row r="336" ht="12.75">
      <c r="B336" s="50"/>
    </row>
    <row r="337" ht="12.75">
      <c r="B337" s="50"/>
    </row>
    <row r="338" ht="12.75">
      <c r="B338" s="50"/>
    </row>
    <row r="339" ht="12.75">
      <c r="B339" s="50"/>
    </row>
    <row r="340" ht="12.75">
      <c r="B340" s="50"/>
    </row>
    <row r="341" ht="12.75">
      <c r="B341" s="50"/>
    </row>
    <row r="342" ht="12.75">
      <c r="B342" s="50"/>
    </row>
    <row r="343" ht="12.75">
      <c r="B343" s="50"/>
    </row>
    <row r="344" ht="12.75">
      <c r="B344" s="50"/>
    </row>
    <row r="345" ht="12.75">
      <c r="B345" s="50"/>
    </row>
    <row r="346" ht="12.75">
      <c r="B346" s="50"/>
    </row>
    <row r="347" ht="12.75">
      <c r="B347" s="50"/>
    </row>
    <row r="348" ht="12.75">
      <c r="B348" s="50"/>
    </row>
    <row r="349" ht="12.75">
      <c r="B349" s="50"/>
    </row>
    <row r="350" ht="12.75">
      <c r="B350" s="50"/>
    </row>
    <row r="351" ht="12.75">
      <c r="B351" s="50"/>
    </row>
    <row r="352" ht="12.75">
      <c r="B352" s="50"/>
    </row>
    <row r="353" ht="12.75">
      <c r="B353" s="50"/>
    </row>
    <row r="354" ht="12.75">
      <c r="B354" s="50"/>
    </row>
    <row r="355" ht="12.75">
      <c r="B355" s="50"/>
    </row>
    <row r="356" ht="12.75">
      <c r="B356" s="50"/>
    </row>
    <row r="357" ht="12.75">
      <c r="B357" s="50"/>
    </row>
    <row r="358" ht="12.75">
      <c r="B358" s="50"/>
    </row>
    <row r="359" ht="12.75">
      <c r="B359" s="50"/>
    </row>
    <row r="360" ht="12.75">
      <c r="B360" s="50"/>
    </row>
    <row r="361" ht="12.75">
      <c r="B361" s="50"/>
    </row>
    <row r="362" ht="12.75">
      <c r="B362" s="50"/>
    </row>
    <row r="363" ht="12.75">
      <c r="B363" s="50"/>
    </row>
    <row r="364" ht="12.75">
      <c r="B364" s="50"/>
    </row>
    <row r="365" ht="12.75">
      <c r="B365" s="50"/>
    </row>
    <row r="366" ht="12.75">
      <c r="B366" s="50"/>
    </row>
    <row r="367" ht="12.75">
      <c r="B367" s="50"/>
    </row>
    <row r="368" ht="12.75">
      <c r="B368" s="50"/>
    </row>
    <row r="369" ht="12.75">
      <c r="B369" s="50"/>
    </row>
    <row r="370" ht="12.75">
      <c r="B370" s="50"/>
    </row>
    <row r="371" ht="12.75">
      <c r="B371" s="50"/>
    </row>
    <row r="372" ht="12.75">
      <c r="B372" s="50"/>
    </row>
    <row r="373" ht="12.75">
      <c r="B373" s="50"/>
    </row>
    <row r="374" ht="12.75">
      <c r="B374" s="50"/>
    </row>
    <row r="375" ht="12.75">
      <c r="B375" s="50"/>
    </row>
    <row r="376" ht="12.75">
      <c r="B376" s="50"/>
    </row>
    <row r="377" ht="12.75">
      <c r="B377" s="50"/>
    </row>
    <row r="378" ht="12.75">
      <c r="B378" s="50"/>
    </row>
    <row r="379" ht="12.75">
      <c r="B379" s="50"/>
    </row>
    <row r="380" ht="12.75">
      <c r="B380" s="50"/>
    </row>
    <row r="381" ht="12.75">
      <c r="B381" s="50"/>
    </row>
    <row r="382" ht="12.75">
      <c r="B382" s="50"/>
    </row>
    <row r="383" ht="12.75">
      <c r="B383" s="50"/>
    </row>
    <row r="384" ht="12.75">
      <c r="B384" s="50"/>
    </row>
    <row r="385" ht="12.75">
      <c r="B385" s="50"/>
    </row>
    <row r="386" ht="12.75">
      <c r="B386" s="50"/>
    </row>
    <row r="387" ht="12.75">
      <c r="B387" s="50"/>
    </row>
    <row r="388" ht="12.75">
      <c r="B388" s="50"/>
    </row>
    <row r="389" ht="12.75">
      <c r="B389" s="50"/>
    </row>
    <row r="390" ht="12.75">
      <c r="B390" s="50"/>
    </row>
    <row r="391" ht="12.75">
      <c r="B391" s="50"/>
    </row>
    <row r="392" ht="12.75">
      <c r="B392" s="50"/>
    </row>
    <row r="393" ht="12.75">
      <c r="B393" s="50"/>
    </row>
    <row r="394" ht="12.75">
      <c r="B394" s="50"/>
    </row>
    <row r="395" ht="12.75">
      <c r="B395" s="50"/>
    </row>
    <row r="396" ht="12.75">
      <c r="B396" s="50"/>
    </row>
    <row r="397" ht="12.75">
      <c r="B397" s="50"/>
    </row>
    <row r="398" ht="12.75">
      <c r="B398" s="50"/>
    </row>
    <row r="399" ht="12.75">
      <c r="B399" s="50"/>
    </row>
    <row r="400" ht="12.75">
      <c r="B400" s="50"/>
    </row>
    <row r="401" ht="12.75">
      <c r="B401" s="50"/>
    </row>
    <row r="402" ht="12.75">
      <c r="B402" s="50"/>
    </row>
    <row r="403" ht="12.75">
      <c r="B403" s="50"/>
    </row>
    <row r="404" ht="12.75">
      <c r="B404" s="50"/>
    </row>
    <row r="405" ht="12.75">
      <c r="B405" s="50"/>
    </row>
    <row r="406" ht="12.75">
      <c r="B406" s="50"/>
    </row>
    <row r="407" ht="12.75">
      <c r="B407" s="50"/>
    </row>
    <row r="408" ht="12.75">
      <c r="B408" s="50"/>
    </row>
    <row r="409" ht="12.75">
      <c r="B409" s="50"/>
    </row>
    <row r="410" ht="12.75">
      <c r="B410" s="50"/>
    </row>
    <row r="411" ht="12.75">
      <c r="B411" s="50"/>
    </row>
    <row r="412" ht="12.75">
      <c r="B412" s="50"/>
    </row>
    <row r="413" ht="12.75">
      <c r="B413" s="50"/>
    </row>
    <row r="414" ht="12.75">
      <c r="B414" s="50"/>
    </row>
    <row r="415" ht="12.75">
      <c r="B415" s="50"/>
    </row>
    <row r="416" ht="12.75">
      <c r="B416" s="50"/>
    </row>
    <row r="417" ht="12.75">
      <c r="B417" s="50"/>
    </row>
    <row r="418" ht="12.75">
      <c r="B418" s="50"/>
    </row>
    <row r="419" ht="12.75">
      <c r="B419" s="50"/>
    </row>
    <row r="420" ht="12.75">
      <c r="B420" s="50"/>
    </row>
    <row r="421" ht="12.75">
      <c r="B421" s="50"/>
    </row>
    <row r="422" ht="12.75">
      <c r="B422" s="50"/>
    </row>
    <row r="423" ht="12.75">
      <c r="B423" s="50"/>
    </row>
    <row r="424" ht="12.75">
      <c r="B424" s="50"/>
    </row>
    <row r="425" ht="12.75">
      <c r="B425" s="50"/>
    </row>
    <row r="426" ht="12.75">
      <c r="B426" s="50"/>
    </row>
    <row r="427" ht="12.75">
      <c r="B427" s="50"/>
    </row>
    <row r="428" ht="12.75">
      <c r="B428" s="50"/>
    </row>
    <row r="429" ht="12.75">
      <c r="B429" s="50"/>
    </row>
    <row r="430" ht="12.75">
      <c r="B430" s="50"/>
    </row>
    <row r="431" ht="12.75">
      <c r="B431" s="50"/>
    </row>
    <row r="432" ht="12.75">
      <c r="B432" s="50"/>
    </row>
    <row r="433" ht="12.75">
      <c r="B433" s="50"/>
    </row>
    <row r="434" ht="12.75">
      <c r="B434" s="50"/>
    </row>
    <row r="435" ht="12.75">
      <c r="B435" s="50"/>
    </row>
    <row r="436" ht="12.75">
      <c r="B436" s="50"/>
    </row>
    <row r="437" ht="12.75">
      <c r="B437" s="50"/>
    </row>
    <row r="438" ht="12.75">
      <c r="B438" s="50"/>
    </row>
    <row r="439" ht="12.75">
      <c r="B439" s="50"/>
    </row>
    <row r="440" ht="12.75">
      <c r="B440" s="50"/>
    </row>
    <row r="441" ht="12.75">
      <c r="B441" s="50"/>
    </row>
    <row r="442" ht="12.75">
      <c r="B442" s="50"/>
    </row>
    <row r="443" ht="12.75">
      <c r="B443" s="50"/>
    </row>
    <row r="444" ht="12.75">
      <c r="B444" s="50"/>
    </row>
    <row r="445" ht="12.75">
      <c r="B445" s="50"/>
    </row>
    <row r="446" ht="12.75">
      <c r="B446" s="50"/>
    </row>
    <row r="447" ht="12.75">
      <c r="B447" s="50"/>
    </row>
    <row r="448" ht="12.75">
      <c r="B448" s="50"/>
    </row>
    <row r="449" ht="12.75">
      <c r="B449" s="50"/>
    </row>
    <row r="450" ht="12.75">
      <c r="B450" s="50"/>
    </row>
    <row r="451" ht="12.75">
      <c r="B451" s="50"/>
    </row>
    <row r="452" ht="12.75">
      <c r="B452" s="50"/>
    </row>
    <row r="453" ht="12.75">
      <c r="B453" s="50"/>
    </row>
    <row r="454" ht="12.75">
      <c r="B454" s="50"/>
    </row>
    <row r="455" ht="12.75">
      <c r="B455" s="50"/>
    </row>
    <row r="456" ht="12.75">
      <c r="B456" s="50"/>
    </row>
    <row r="457" ht="12.75">
      <c r="B457" s="50"/>
    </row>
    <row r="458" ht="12.75">
      <c r="B458" s="50"/>
    </row>
    <row r="459" ht="12.75">
      <c r="B459" s="50"/>
    </row>
    <row r="460" ht="12.75">
      <c r="B460" s="50"/>
    </row>
    <row r="461" ht="12.75">
      <c r="B461" s="50"/>
    </row>
    <row r="462" ht="12.75">
      <c r="B462" s="50"/>
    </row>
    <row r="463" ht="12.75">
      <c r="B463" s="50"/>
    </row>
    <row r="464" ht="12.75">
      <c r="B464" s="50"/>
    </row>
    <row r="465" ht="12.75">
      <c r="B465" s="50"/>
    </row>
    <row r="466" ht="12.75">
      <c r="B466" s="50"/>
    </row>
    <row r="467" ht="12.75">
      <c r="B467" s="50"/>
    </row>
    <row r="468" ht="12.75">
      <c r="B468" s="50"/>
    </row>
    <row r="469" ht="12.75">
      <c r="B469" s="50"/>
    </row>
    <row r="470" ht="12.75">
      <c r="B470" s="50"/>
    </row>
    <row r="471" ht="12.75">
      <c r="B471" s="50"/>
    </row>
    <row r="472" ht="12.75">
      <c r="B472" s="50"/>
    </row>
    <row r="473" ht="12.75">
      <c r="B473" s="50"/>
    </row>
    <row r="474" ht="12.75">
      <c r="B474" s="50"/>
    </row>
    <row r="475" ht="12.75">
      <c r="B475" s="50"/>
    </row>
    <row r="476" ht="12.75">
      <c r="B476" s="50"/>
    </row>
    <row r="477" ht="12.75">
      <c r="B477" s="50"/>
    </row>
    <row r="478" ht="12.75">
      <c r="B478" s="50"/>
    </row>
    <row r="479" ht="12.75">
      <c r="B479" s="50"/>
    </row>
    <row r="480" ht="12.75">
      <c r="B480" s="50"/>
    </row>
    <row r="481" ht="12.75">
      <c r="B481" s="50"/>
    </row>
    <row r="482" ht="12.75">
      <c r="B482" s="50"/>
    </row>
    <row r="483" ht="12.75">
      <c r="B483" s="50"/>
    </row>
    <row r="484" ht="12.75">
      <c r="B484" s="50"/>
    </row>
    <row r="485" ht="12.75">
      <c r="B485" s="50"/>
    </row>
    <row r="486" ht="12.75">
      <c r="B486" s="50"/>
    </row>
    <row r="487" ht="12.75">
      <c r="B487" s="50"/>
    </row>
    <row r="488" ht="12.75">
      <c r="B488" s="50"/>
    </row>
    <row r="489" ht="12.75">
      <c r="B489" s="50"/>
    </row>
    <row r="490" ht="12.75">
      <c r="B490" s="50"/>
    </row>
    <row r="491" ht="12.75">
      <c r="B491" s="50"/>
    </row>
    <row r="492" ht="12.75">
      <c r="B492" s="50"/>
    </row>
    <row r="493" ht="12.75">
      <c r="B493" s="50"/>
    </row>
    <row r="494" ht="12.75">
      <c r="B494" s="50"/>
    </row>
    <row r="495" ht="12.75">
      <c r="B495" s="50"/>
    </row>
    <row r="496" ht="12.75">
      <c r="B496" s="50"/>
    </row>
    <row r="497" ht="12.75">
      <c r="B497" s="50"/>
    </row>
    <row r="498" ht="12.75">
      <c r="B498" s="50"/>
    </row>
    <row r="499" ht="12.75">
      <c r="B499" s="50"/>
    </row>
    <row r="500" ht="12.75">
      <c r="B500" s="50"/>
    </row>
    <row r="501" ht="12.75">
      <c r="B501" s="50"/>
    </row>
    <row r="502" ht="12.75">
      <c r="B502" s="50"/>
    </row>
    <row r="503" ht="12.75">
      <c r="B503" s="50"/>
    </row>
    <row r="504" ht="12.75">
      <c r="B504" s="50"/>
    </row>
    <row r="505" ht="12.75">
      <c r="B505" s="50"/>
    </row>
    <row r="506" ht="12.75">
      <c r="B506" s="50"/>
    </row>
    <row r="507" ht="12.75">
      <c r="B507" s="50"/>
    </row>
    <row r="508" ht="12.75">
      <c r="B508" s="50"/>
    </row>
    <row r="509" ht="12.75">
      <c r="B509" s="50"/>
    </row>
    <row r="510" ht="12.75">
      <c r="B510" s="50"/>
    </row>
    <row r="511" ht="12.75">
      <c r="B511" s="50"/>
    </row>
    <row r="512" ht="12.75">
      <c r="B512" s="50"/>
    </row>
    <row r="513" ht="12.75">
      <c r="B513" s="50"/>
    </row>
    <row r="514" ht="12.75">
      <c r="B514" s="50"/>
    </row>
    <row r="515" ht="12.75">
      <c r="B515" s="50"/>
    </row>
    <row r="516" ht="12.75">
      <c r="B516" s="50"/>
    </row>
    <row r="517" ht="12.75">
      <c r="B517" s="50"/>
    </row>
    <row r="518" ht="12.75">
      <c r="B518" s="50"/>
    </row>
    <row r="519" ht="12.75">
      <c r="B519" s="50"/>
    </row>
    <row r="520" ht="12.75">
      <c r="B520" s="50"/>
    </row>
    <row r="521" ht="12.75">
      <c r="B521" s="50"/>
    </row>
    <row r="522" ht="12.75">
      <c r="B522" s="50"/>
    </row>
    <row r="523" ht="12.75">
      <c r="B523" s="50"/>
    </row>
    <row r="524" ht="12.75">
      <c r="B524" s="50"/>
    </row>
    <row r="525" ht="12.75">
      <c r="B525" s="50"/>
    </row>
    <row r="526" ht="12.75">
      <c r="B526" s="50"/>
    </row>
    <row r="527" ht="12.75">
      <c r="B527" s="50"/>
    </row>
    <row r="528" ht="12.75">
      <c r="B528" s="50"/>
    </row>
    <row r="529" ht="12.75">
      <c r="B529" s="50"/>
    </row>
    <row r="530" ht="12.75">
      <c r="B530" s="50"/>
    </row>
    <row r="531" ht="12.75">
      <c r="B531" s="50"/>
    </row>
    <row r="532" ht="12.75">
      <c r="B532" s="50"/>
    </row>
    <row r="533" ht="12.75">
      <c r="B533" s="50"/>
    </row>
    <row r="534" ht="12.75">
      <c r="B534" s="50"/>
    </row>
    <row r="535" ht="12.75">
      <c r="B535" s="50"/>
    </row>
    <row r="536" ht="12.75">
      <c r="B536" s="50"/>
    </row>
    <row r="537" ht="12.75">
      <c r="B537" s="50"/>
    </row>
    <row r="538" ht="12.75">
      <c r="B538" s="50"/>
    </row>
    <row r="539" ht="12.75">
      <c r="B539" s="50"/>
    </row>
    <row r="540" ht="12.75">
      <c r="B540" s="50"/>
    </row>
    <row r="541" ht="12.75">
      <c r="B541" s="50"/>
    </row>
    <row r="542" ht="12.75">
      <c r="B542" s="50"/>
    </row>
    <row r="543" ht="12.75">
      <c r="B543" s="50"/>
    </row>
    <row r="544" ht="12.75">
      <c r="B544" s="50"/>
    </row>
    <row r="545" ht="12.75">
      <c r="B545" s="50"/>
    </row>
    <row r="546" ht="12.75">
      <c r="B546" s="50"/>
    </row>
    <row r="547" ht="12.75">
      <c r="B547" s="50"/>
    </row>
    <row r="548" ht="12.75">
      <c r="B548" s="50"/>
    </row>
    <row r="549" ht="12.75">
      <c r="B549" s="50"/>
    </row>
    <row r="550" ht="12.75">
      <c r="B550" s="50"/>
    </row>
    <row r="551" ht="12.75">
      <c r="B551" s="50"/>
    </row>
    <row r="552" ht="12.75">
      <c r="B552" s="50"/>
    </row>
    <row r="553" ht="12.75">
      <c r="B553" s="50"/>
    </row>
  </sheetData>
  <mergeCells count="16">
    <mergeCell ref="A7:K7"/>
    <mergeCell ref="A9:A11"/>
    <mergeCell ref="B9:B11"/>
    <mergeCell ref="C9:G9"/>
    <mergeCell ref="H9:J9"/>
    <mergeCell ref="G1:K1"/>
    <mergeCell ref="G2:K2"/>
    <mergeCell ref="G3:K3"/>
    <mergeCell ref="A6:K6"/>
    <mergeCell ref="A164:B164"/>
    <mergeCell ref="K9:K11"/>
    <mergeCell ref="C10:C11"/>
    <mergeCell ref="D10:G10"/>
    <mergeCell ref="H10:H11"/>
    <mergeCell ref="J10:J11"/>
    <mergeCell ref="A136:A154"/>
  </mergeCells>
  <printOptions/>
  <pageMargins left="0.51" right="0.16" top="0.25" bottom="0.26" header="0.67" footer="0.45"/>
  <pageSetup fitToHeight="3"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65"/>
  <sheetViews>
    <sheetView view="pageBreakPreview" zoomScale="75" zoomScaleNormal="75" zoomScaleSheetLayoutView="75" workbookViewId="0" topLeftCell="A7">
      <pane xSplit="2" ySplit="7" topLeftCell="C237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K121" sqref="K121"/>
    </sheetView>
  </sheetViews>
  <sheetFormatPr defaultColWidth="9.00390625" defaultRowHeight="12.75"/>
  <cols>
    <col min="1" max="1" width="7.625" style="56" customWidth="1"/>
    <col min="2" max="2" width="54.875" style="31" customWidth="1"/>
    <col min="3" max="3" width="13.875" style="3" customWidth="1"/>
    <col min="4" max="4" width="10.375" style="3" customWidth="1"/>
    <col min="5" max="5" width="9.125" style="3" customWidth="1"/>
    <col min="6" max="6" width="11.875" style="3" customWidth="1"/>
    <col min="7" max="7" width="11.625" style="3" customWidth="1"/>
    <col min="8" max="8" width="10.00390625" style="3" customWidth="1"/>
    <col min="9" max="9" width="10.375" style="3" customWidth="1"/>
    <col min="10" max="10" width="7.00390625" style="3" hidden="1" customWidth="1"/>
    <col min="11" max="11" width="12.375" style="3" customWidth="1"/>
    <col min="12" max="12" width="13.125" style="32" customWidth="1"/>
    <col min="13" max="13" width="14.625" style="32" customWidth="1"/>
    <col min="14" max="14" width="10.375" style="32" bestFit="1" customWidth="1"/>
    <col min="15" max="59" width="8.875" style="32" customWidth="1"/>
    <col min="60" max="16384" width="8.875" style="3" customWidth="1"/>
  </cols>
  <sheetData>
    <row r="1" spans="6:11" ht="13.5" customHeight="1" hidden="1">
      <c r="F1" s="394"/>
      <c r="G1" s="394"/>
      <c r="H1" s="394"/>
      <c r="I1" s="394"/>
      <c r="J1" s="394"/>
      <c r="K1" s="394"/>
    </row>
    <row r="2" spans="6:11" ht="13.5" customHeight="1" hidden="1">
      <c r="F2" s="5"/>
      <c r="G2" s="5"/>
      <c r="H2" s="5"/>
      <c r="I2" s="5"/>
      <c r="J2" s="5"/>
      <c r="K2" s="5"/>
    </row>
    <row r="3" spans="6:11" ht="13.5" customHeight="1" hidden="1">
      <c r="F3" s="4" t="s">
        <v>329</v>
      </c>
      <c r="G3" s="4"/>
      <c r="H3" s="4"/>
      <c r="I3" s="4"/>
      <c r="J3" s="4"/>
      <c r="K3" s="4"/>
    </row>
    <row r="4" spans="5:11" ht="12.75">
      <c r="E4" s="33" t="s">
        <v>330</v>
      </c>
      <c r="G4" s="395" t="s">
        <v>331</v>
      </c>
      <c r="H4" s="395"/>
      <c r="I4" s="395"/>
      <c r="J4" s="395"/>
      <c r="K4" s="395"/>
    </row>
    <row r="5" spans="7:11" ht="12.75">
      <c r="G5" s="345" t="s">
        <v>231</v>
      </c>
      <c r="H5" s="345"/>
      <c r="I5" s="345"/>
      <c r="J5" s="345"/>
      <c r="K5" s="345"/>
    </row>
    <row r="6" spans="7:11" ht="12.75">
      <c r="G6" s="371" t="s">
        <v>200</v>
      </c>
      <c r="H6" s="371"/>
      <c r="I6" s="371"/>
      <c r="J6" s="371"/>
      <c r="K6" s="371"/>
    </row>
    <row r="7" ht="13.5" customHeight="1"/>
    <row r="8" spans="1:11" ht="15.75">
      <c r="A8" s="346" t="s">
        <v>520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</row>
    <row r="9" spans="1:11" ht="15" customHeight="1">
      <c r="A9" s="346" t="s">
        <v>521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</row>
    <row r="10" spans="8:11" ht="13.5" thickBot="1">
      <c r="H10" s="393" t="s">
        <v>609</v>
      </c>
      <c r="I10" s="393"/>
      <c r="J10" s="393"/>
      <c r="K10" s="393"/>
    </row>
    <row r="11" spans="1:18" ht="24.75" customHeight="1" thickBot="1">
      <c r="A11" s="347" t="s">
        <v>233</v>
      </c>
      <c r="B11" s="390" t="s">
        <v>332</v>
      </c>
      <c r="C11" s="387" t="s">
        <v>250</v>
      </c>
      <c r="D11" s="377"/>
      <c r="E11" s="388"/>
      <c r="F11" s="388"/>
      <c r="G11" s="378"/>
      <c r="H11" s="379" t="s">
        <v>251</v>
      </c>
      <c r="I11" s="380"/>
      <c r="J11" s="381"/>
      <c r="K11" s="352" t="s">
        <v>252</v>
      </c>
      <c r="R11" s="3" t="s">
        <v>325</v>
      </c>
    </row>
    <row r="12" spans="1:11" ht="40.5" customHeight="1" thickBot="1">
      <c r="A12" s="348"/>
      <c r="B12" s="391"/>
      <c r="C12" s="384" t="s">
        <v>253</v>
      </c>
      <c r="D12" s="387" t="s">
        <v>254</v>
      </c>
      <c r="E12" s="388"/>
      <c r="F12" s="388"/>
      <c r="G12" s="389"/>
      <c r="H12" s="384" t="s">
        <v>253</v>
      </c>
      <c r="I12" s="13" t="s">
        <v>255</v>
      </c>
      <c r="J12" s="352" t="s">
        <v>256</v>
      </c>
      <c r="K12" s="386"/>
    </row>
    <row r="13" spans="1:11" ht="96" customHeight="1" thickBot="1">
      <c r="A13" s="340"/>
      <c r="B13" s="392"/>
      <c r="C13" s="385"/>
      <c r="D13" s="13" t="s">
        <v>257</v>
      </c>
      <c r="E13" s="13" t="s">
        <v>264</v>
      </c>
      <c r="F13" s="13" t="s">
        <v>265</v>
      </c>
      <c r="G13" s="13" t="s">
        <v>112</v>
      </c>
      <c r="H13" s="385"/>
      <c r="I13" s="13" t="s">
        <v>266</v>
      </c>
      <c r="J13" s="349"/>
      <c r="K13" s="349"/>
    </row>
    <row r="14" spans="1:11" ht="13.5" thickBot="1">
      <c r="A14" s="73">
        <v>1</v>
      </c>
      <c r="B14" s="74">
        <v>2</v>
      </c>
      <c r="C14" s="75">
        <v>3</v>
      </c>
      <c r="D14" s="75">
        <v>4</v>
      </c>
      <c r="E14" s="75">
        <v>5</v>
      </c>
      <c r="F14" s="75">
        <v>6</v>
      </c>
      <c r="G14" s="75">
        <v>7</v>
      </c>
      <c r="H14" s="75">
        <v>8</v>
      </c>
      <c r="I14" s="75">
        <v>9</v>
      </c>
      <c r="J14" s="75">
        <v>10</v>
      </c>
      <c r="K14" s="75">
        <v>11</v>
      </c>
    </row>
    <row r="15" spans="1:59" s="35" customFormat="1" ht="12.75">
      <c r="A15" s="76"/>
      <c r="B15" s="77" t="s">
        <v>334</v>
      </c>
      <c r="C15" s="42">
        <f>D15+E15+F15</f>
        <v>44324.8</v>
      </c>
      <c r="D15" s="78">
        <f>D16+D18+D19+D30+D33+D36+D37+D17+D21+D24+D34+D35+D29+D38+D32+D28+D27</f>
        <v>2933</v>
      </c>
      <c r="E15" s="78">
        <f>E16+E18+E19+E30+E33+E36+E37+E17+E21+E24+E34+E35+E29+E38+E32+E28+E27</f>
        <v>2387</v>
      </c>
      <c r="F15" s="78">
        <f>F16+F18+F19+F30+F33+F36+F37+F17+F21+F24+F34+F35+F29+F38+F32+F28+F27+F26+F25</f>
        <v>39004.8</v>
      </c>
      <c r="G15" s="78">
        <f>G16+G18+G19+G30+G33+G36+G37+G17+G21+G24+G34+G35+G29+G38+G32+G28+G27</f>
        <v>0</v>
      </c>
      <c r="H15" s="78">
        <f>H16+H18+H19+H30+H33+H36+H37+H17+H20+H24+H34+H35+H29+H38+H32+H28+H27</f>
        <v>170346.3</v>
      </c>
      <c r="I15" s="78">
        <f>I16+I18+I19+I30+I33+I36+I37+I17+I20+I24+I34+I35+I29+I38+I32+I28+I27</f>
        <v>170266.3</v>
      </c>
      <c r="J15" s="78">
        <f>J16+J18+J19+J30+J33+J36+J37+J17+J21+J24+J34+J35+J29+J38+J32+J28</f>
        <v>0</v>
      </c>
      <c r="K15" s="59">
        <f>H15+C15</f>
        <v>214671.09999999998</v>
      </c>
      <c r="L15" s="23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59" ht="12.75">
      <c r="A16" s="60" t="s">
        <v>269</v>
      </c>
      <c r="B16" s="37" t="s">
        <v>270</v>
      </c>
      <c r="C16" s="27">
        <f>D16+E16+F16</f>
        <v>17508.3</v>
      </c>
      <c r="D16" s="22">
        <v>2933</v>
      </c>
      <c r="E16" s="22">
        <v>2387</v>
      </c>
      <c r="F16" s="22">
        <f>14143-1954.7</f>
        <v>12188.3</v>
      </c>
      <c r="G16" s="22"/>
      <c r="H16" s="22">
        <v>80</v>
      </c>
      <c r="I16" s="22"/>
      <c r="J16" s="22"/>
      <c r="K16" s="69">
        <f aca="true" t="shared" si="0" ref="K16:K202">C16+H16</f>
        <v>17588.3</v>
      </c>
      <c r="L16" s="85"/>
      <c r="M16" s="28"/>
      <c r="N16" s="85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1:59" ht="25.5" customHeight="1" hidden="1">
      <c r="A17" s="60" t="s">
        <v>273</v>
      </c>
      <c r="B17" s="48" t="s">
        <v>279</v>
      </c>
      <c r="C17" s="27">
        <f>D17+E17+F17+G17</f>
        <v>0</v>
      </c>
      <c r="D17" s="22"/>
      <c r="E17" s="22"/>
      <c r="F17" s="22"/>
      <c r="G17" s="22"/>
      <c r="H17" s="22"/>
      <c r="I17" s="22"/>
      <c r="J17" s="22"/>
      <c r="K17" s="69">
        <f t="shared" si="0"/>
        <v>0</v>
      </c>
      <c r="L17" s="85"/>
      <c r="M17" s="28"/>
      <c r="N17" s="85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 ht="21" customHeight="1">
      <c r="A18" s="60" t="s">
        <v>335</v>
      </c>
      <c r="B18" s="37" t="s">
        <v>54</v>
      </c>
      <c r="C18" s="27">
        <f aca="true" t="shared" si="1" ref="C18:C44">D18+E18+F18+G18</f>
        <v>45</v>
      </c>
      <c r="D18" s="22"/>
      <c r="E18" s="22"/>
      <c r="F18" s="22">
        <v>45</v>
      </c>
      <c r="G18" s="22"/>
      <c r="H18" s="22"/>
      <c r="I18" s="22"/>
      <c r="J18" s="22"/>
      <c r="K18" s="69">
        <f t="shared" si="0"/>
        <v>45</v>
      </c>
      <c r="L18" s="137"/>
      <c r="M18" s="140"/>
      <c r="N18" s="137"/>
      <c r="O18" s="80"/>
      <c r="P18" s="80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1:59" ht="15.75" customHeight="1">
      <c r="A19" s="60" t="s">
        <v>292</v>
      </c>
      <c r="B19" s="21" t="s">
        <v>293</v>
      </c>
      <c r="C19" s="27">
        <f t="shared" si="1"/>
        <v>36</v>
      </c>
      <c r="D19" s="22"/>
      <c r="E19" s="22"/>
      <c r="F19" s="22">
        <v>36</v>
      </c>
      <c r="G19" s="22"/>
      <c r="H19" s="22"/>
      <c r="I19" s="22"/>
      <c r="J19" s="22"/>
      <c r="K19" s="69">
        <f t="shared" si="0"/>
        <v>36</v>
      </c>
      <c r="L19" s="137"/>
      <c r="M19" s="81"/>
      <c r="N19" s="81"/>
      <c r="O19" s="81"/>
      <c r="P19" s="82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ht="15.75" customHeight="1">
      <c r="A20" s="66">
        <v>150101</v>
      </c>
      <c r="B20" s="17" t="s">
        <v>349</v>
      </c>
      <c r="C20" s="27"/>
      <c r="D20" s="22"/>
      <c r="E20" s="22"/>
      <c r="F20" s="22"/>
      <c r="G20" s="22"/>
      <c r="H20" s="22">
        <f>H21+8500+20000</f>
        <v>168500</v>
      </c>
      <c r="I20" s="22">
        <f>H20</f>
        <v>168500</v>
      </c>
      <c r="J20" s="22"/>
      <c r="K20" s="69">
        <f t="shared" si="0"/>
        <v>168500</v>
      </c>
      <c r="L20" s="137"/>
      <c r="M20" s="81"/>
      <c r="N20" s="81"/>
      <c r="O20" s="81"/>
      <c r="P20" s="82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ht="53.25" customHeight="1">
      <c r="A21" s="66"/>
      <c r="B21" s="183" t="s">
        <v>533</v>
      </c>
      <c r="C21" s="144">
        <f>D21+E21+F21</f>
        <v>0</v>
      </c>
      <c r="D21" s="144"/>
      <c r="E21" s="144"/>
      <c r="F21" s="144"/>
      <c r="G21" s="144"/>
      <c r="H21" s="27">
        <f>140000</f>
        <v>140000</v>
      </c>
      <c r="I21" s="27">
        <f>H21</f>
        <v>140000</v>
      </c>
      <c r="J21" s="27"/>
      <c r="K21" s="61">
        <f>C21+H21</f>
        <v>140000</v>
      </c>
      <c r="L21" s="7"/>
      <c r="M21" s="1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29.25" customHeight="1">
      <c r="A22" s="66"/>
      <c r="B22" s="183" t="s">
        <v>519</v>
      </c>
      <c r="C22" s="144"/>
      <c r="D22" s="144"/>
      <c r="E22" s="144"/>
      <c r="F22" s="144"/>
      <c r="G22" s="144"/>
      <c r="H22" s="27">
        <v>8500</v>
      </c>
      <c r="I22" s="27">
        <v>8500</v>
      </c>
      <c r="J22" s="27"/>
      <c r="K22" s="61">
        <f>C22+H22</f>
        <v>8500</v>
      </c>
      <c r="L22" s="7"/>
      <c r="M22" s="18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5" customHeight="1">
      <c r="A23" s="66" t="s">
        <v>343</v>
      </c>
      <c r="B23" s="183" t="s">
        <v>344</v>
      </c>
      <c r="C23" s="27">
        <f>D23+E23+F23+G23</f>
        <v>18000</v>
      </c>
      <c r="D23" s="22"/>
      <c r="E23" s="22"/>
      <c r="F23" s="22">
        <f>F24</f>
        <v>18000</v>
      </c>
      <c r="G23" s="144"/>
      <c r="H23" s="27"/>
      <c r="I23" s="27"/>
      <c r="J23" s="27"/>
      <c r="K23" s="61">
        <f>C23+H23</f>
        <v>18000</v>
      </c>
      <c r="L23" s="7"/>
      <c r="M23" s="1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29.25" customHeight="1">
      <c r="A24" s="66"/>
      <c r="B24" s="46" t="s">
        <v>345</v>
      </c>
      <c r="C24" s="27">
        <f>D24+E24+F24+G24</f>
        <v>18000</v>
      </c>
      <c r="D24" s="22"/>
      <c r="E24" s="22"/>
      <c r="F24" s="22">
        <f>10000+8000</f>
        <v>18000</v>
      </c>
      <c r="G24" s="22"/>
      <c r="H24" s="22"/>
      <c r="I24" s="22"/>
      <c r="J24" s="22"/>
      <c r="K24" s="69">
        <f>C24+H24</f>
        <v>18000</v>
      </c>
      <c r="L24" s="137"/>
      <c r="M24" s="81"/>
      <c r="N24" s="81"/>
      <c r="O24" s="81"/>
      <c r="P24" s="82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1:59" ht="12.75">
      <c r="A25" s="66" t="s">
        <v>506</v>
      </c>
      <c r="B25" s="17" t="s">
        <v>507</v>
      </c>
      <c r="C25" s="27">
        <f>D25+E25+F25+G25</f>
        <v>100</v>
      </c>
      <c r="D25" s="22"/>
      <c r="E25" s="22"/>
      <c r="F25" s="22">
        <v>100</v>
      </c>
      <c r="G25" s="22"/>
      <c r="H25" s="22"/>
      <c r="I25" s="22"/>
      <c r="J25" s="22"/>
      <c r="K25" s="69">
        <f t="shared" si="0"/>
        <v>100</v>
      </c>
      <c r="L25" s="137"/>
      <c r="M25" s="81"/>
      <c r="N25" s="81"/>
      <c r="O25" s="81"/>
      <c r="P25" s="82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1:59" ht="29.25" customHeight="1">
      <c r="A26" s="66" t="s">
        <v>148</v>
      </c>
      <c r="B26" s="21" t="s">
        <v>313</v>
      </c>
      <c r="C26" s="27">
        <f t="shared" si="1"/>
        <v>3350</v>
      </c>
      <c r="D26" s="22"/>
      <c r="E26" s="22"/>
      <c r="F26" s="22">
        <v>3350</v>
      </c>
      <c r="G26" s="22"/>
      <c r="H26" s="22"/>
      <c r="I26" s="22"/>
      <c r="J26" s="22"/>
      <c r="K26" s="69">
        <f t="shared" si="0"/>
        <v>3350</v>
      </c>
      <c r="L26" s="137"/>
      <c r="M26" s="81"/>
      <c r="N26" s="81"/>
      <c r="O26" s="81"/>
      <c r="P26" s="8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1:59" ht="38.25" customHeight="1">
      <c r="A27" s="66" t="s">
        <v>24</v>
      </c>
      <c r="B27" s="17" t="s">
        <v>25</v>
      </c>
      <c r="C27" s="27"/>
      <c r="D27" s="27"/>
      <c r="E27" s="27"/>
      <c r="F27" s="27"/>
      <c r="G27" s="27"/>
      <c r="H27" s="27">
        <f>I27</f>
        <v>1766.3</v>
      </c>
      <c r="I27" s="27">
        <f>90+400+30+30+30+886.3+300</f>
        <v>1766.3</v>
      </c>
      <c r="J27" s="27"/>
      <c r="K27" s="61">
        <f>C27+H27</f>
        <v>1766.3</v>
      </c>
      <c r="L27" s="196">
        <f>I27+I21</f>
        <v>141766.3</v>
      </c>
      <c r="M27" s="1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5.75" customHeight="1">
      <c r="A28" s="66" t="s">
        <v>194</v>
      </c>
      <c r="B28" s="17" t="s">
        <v>195</v>
      </c>
      <c r="C28" s="27">
        <f>D28+E28+F28</f>
        <v>100</v>
      </c>
      <c r="D28" s="27"/>
      <c r="E28" s="27"/>
      <c r="F28" s="27">
        <v>100</v>
      </c>
      <c r="G28" s="22"/>
      <c r="H28" s="22"/>
      <c r="I28" s="22"/>
      <c r="J28" s="22"/>
      <c r="K28" s="69">
        <f t="shared" si="0"/>
        <v>100</v>
      </c>
      <c r="L28" s="137"/>
      <c r="M28" s="81"/>
      <c r="N28" s="81"/>
      <c r="O28" s="81"/>
      <c r="P28" s="82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1:59" ht="12.75">
      <c r="A29" s="66">
        <v>250404</v>
      </c>
      <c r="B29" s="17" t="s">
        <v>321</v>
      </c>
      <c r="C29" s="27">
        <f>D29+E29+F29</f>
        <v>930</v>
      </c>
      <c r="D29" s="27"/>
      <c r="E29" s="27"/>
      <c r="F29" s="27">
        <f>380+500+50</f>
        <v>930</v>
      </c>
      <c r="G29" s="27"/>
      <c r="H29" s="27"/>
      <c r="I29" s="27"/>
      <c r="J29" s="27"/>
      <c r="K29" s="61">
        <f>C29+H29</f>
        <v>930</v>
      </c>
      <c r="L29" s="7"/>
      <c r="M29" s="1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25.5" hidden="1">
      <c r="A30" s="60" t="s">
        <v>148</v>
      </c>
      <c r="B30" s="21" t="s">
        <v>313</v>
      </c>
      <c r="C30" s="27">
        <f t="shared" si="1"/>
        <v>0</v>
      </c>
      <c r="D30" s="22"/>
      <c r="E30" s="22"/>
      <c r="F30" s="22"/>
      <c r="G30" s="22"/>
      <c r="H30" s="22"/>
      <c r="I30" s="22"/>
      <c r="J30" s="22"/>
      <c r="K30" s="69">
        <f t="shared" si="0"/>
        <v>0</v>
      </c>
      <c r="L30" s="137"/>
      <c r="M30" s="138"/>
      <c r="N30" s="81"/>
      <c r="O30" s="82"/>
      <c r="P30" s="8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59" ht="38.25" hidden="1">
      <c r="A31" s="60" t="s">
        <v>24</v>
      </c>
      <c r="B31" s="17" t="s">
        <v>25</v>
      </c>
      <c r="C31" s="27"/>
      <c r="D31" s="22"/>
      <c r="E31" s="22"/>
      <c r="F31" s="22"/>
      <c r="G31" s="22"/>
      <c r="H31" s="22"/>
      <c r="I31" s="22">
        <f>H31</f>
        <v>0</v>
      </c>
      <c r="J31" s="22"/>
      <c r="K31" s="69">
        <f t="shared" si="0"/>
        <v>0</v>
      </c>
      <c r="L31" s="80"/>
      <c r="M31" s="82"/>
      <c r="N31" s="82"/>
      <c r="O31" s="82"/>
      <c r="P31" s="82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1:59" ht="25.5" hidden="1">
      <c r="A32" s="60" t="s">
        <v>194</v>
      </c>
      <c r="B32" s="17" t="s">
        <v>195</v>
      </c>
      <c r="C32" s="27">
        <f t="shared" si="1"/>
        <v>0</v>
      </c>
      <c r="D32" s="22"/>
      <c r="E32" s="22"/>
      <c r="F32" s="22"/>
      <c r="G32" s="22"/>
      <c r="H32" s="22"/>
      <c r="I32" s="22"/>
      <c r="J32" s="22"/>
      <c r="K32" s="69">
        <f t="shared" si="0"/>
        <v>0</v>
      </c>
      <c r="L32" s="80"/>
      <c r="M32" s="82"/>
      <c r="N32" s="82"/>
      <c r="O32" s="82"/>
      <c r="P32" s="82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59" ht="12.75" hidden="1">
      <c r="A33" s="66" t="s">
        <v>140</v>
      </c>
      <c r="B33" s="17" t="s">
        <v>309</v>
      </c>
      <c r="C33" s="27">
        <f t="shared" si="1"/>
        <v>0</v>
      </c>
      <c r="D33" s="22"/>
      <c r="E33" s="22"/>
      <c r="F33" s="22"/>
      <c r="G33" s="22"/>
      <c r="H33" s="22">
        <f>I33</f>
        <v>0</v>
      </c>
      <c r="I33" s="22"/>
      <c r="J33" s="22"/>
      <c r="K33" s="69">
        <f t="shared" si="0"/>
        <v>0</v>
      </c>
      <c r="L33" s="80"/>
      <c r="M33" s="81"/>
      <c r="N33" s="81"/>
      <c r="O33" s="81"/>
      <c r="P33" s="82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1:59" ht="25.5" hidden="1">
      <c r="A34" s="66" t="s">
        <v>55</v>
      </c>
      <c r="B34" s="17" t="s">
        <v>56</v>
      </c>
      <c r="C34" s="27">
        <f t="shared" si="1"/>
        <v>0</v>
      </c>
      <c r="D34" s="22"/>
      <c r="E34" s="22"/>
      <c r="F34" s="22"/>
      <c r="G34" s="22"/>
      <c r="H34" s="22"/>
      <c r="I34" s="22"/>
      <c r="J34" s="22"/>
      <c r="K34" s="69">
        <f t="shared" si="0"/>
        <v>0</v>
      </c>
      <c r="L34" s="80"/>
      <c r="M34" s="81"/>
      <c r="N34" s="81"/>
      <c r="O34" s="81"/>
      <c r="P34" s="82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59" ht="12.75" hidden="1">
      <c r="A35" s="66" t="s">
        <v>28</v>
      </c>
      <c r="B35" s="17" t="s">
        <v>29</v>
      </c>
      <c r="C35" s="27">
        <f t="shared" si="1"/>
        <v>0</v>
      </c>
      <c r="D35" s="22"/>
      <c r="E35" s="22"/>
      <c r="F35" s="22"/>
      <c r="G35" s="22"/>
      <c r="H35" s="22"/>
      <c r="I35" s="22"/>
      <c r="J35" s="22"/>
      <c r="K35" s="69">
        <f t="shared" si="0"/>
        <v>0</v>
      </c>
      <c r="L35" s="80"/>
      <c r="M35" s="81"/>
      <c r="N35" s="81"/>
      <c r="O35" s="81"/>
      <c r="P35" s="82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59" ht="12.75" hidden="1">
      <c r="A36" s="60" t="s">
        <v>149</v>
      </c>
      <c r="B36" s="37" t="s">
        <v>336</v>
      </c>
      <c r="C36" s="27">
        <f t="shared" si="1"/>
        <v>0</v>
      </c>
      <c r="D36" s="22"/>
      <c r="E36" s="22"/>
      <c r="F36" s="22"/>
      <c r="G36" s="22"/>
      <c r="H36" s="22"/>
      <c r="I36" s="22"/>
      <c r="J36" s="22"/>
      <c r="K36" s="69">
        <f t="shared" si="0"/>
        <v>0</v>
      </c>
      <c r="L36" s="85"/>
      <c r="M36" s="28"/>
      <c r="N36" s="85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1:59" ht="12.75" hidden="1">
      <c r="A37" s="60" t="s">
        <v>337</v>
      </c>
      <c r="B37" s="21" t="s">
        <v>320</v>
      </c>
      <c r="C37" s="27">
        <f t="shared" si="1"/>
        <v>0</v>
      </c>
      <c r="D37" s="22"/>
      <c r="E37" s="22"/>
      <c r="F37" s="22"/>
      <c r="G37" s="22"/>
      <c r="H37" s="22"/>
      <c r="I37" s="22"/>
      <c r="J37" s="22"/>
      <c r="K37" s="69">
        <f t="shared" si="0"/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1:59" ht="38.25">
      <c r="A38" s="66" t="s">
        <v>40</v>
      </c>
      <c r="B38" s="67" t="s">
        <v>175</v>
      </c>
      <c r="C38" s="27">
        <f t="shared" si="1"/>
        <v>4255.5</v>
      </c>
      <c r="D38" s="22"/>
      <c r="E38" s="22"/>
      <c r="F38" s="22">
        <f>F44</f>
        <v>4255.5</v>
      </c>
      <c r="G38" s="22">
        <f>G41+G43</f>
        <v>0</v>
      </c>
      <c r="H38" s="22"/>
      <c r="I38" s="22"/>
      <c r="J38" s="22"/>
      <c r="K38" s="69">
        <f t="shared" si="0"/>
        <v>4255.5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1:59" ht="25.5" hidden="1">
      <c r="A39" s="66"/>
      <c r="B39" s="67" t="s">
        <v>190</v>
      </c>
      <c r="C39" s="27">
        <f t="shared" si="1"/>
        <v>0</v>
      </c>
      <c r="D39" s="22"/>
      <c r="E39" s="22"/>
      <c r="F39" s="22"/>
      <c r="G39" s="22"/>
      <c r="H39" s="22"/>
      <c r="I39" s="22"/>
      <c r="J39" s="22"/>
      <c r="K39" s="69">
        <f t="shared" si="0"/>
        <v>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59" ht="12.75" hidden="1">
      <c r="A40" s="66"/>
      <c r="B40" s="67" t="s">
        <v>191</v>
      </c>
      <c r="C40" s="27">
        <f t="shared" si="1"/>
        <v>0</v>
      </c>
      <c r="D40" s="22"/>
      <c r="E40" s="22"/>
      <c r="F40" s="22"/>
      <c r="G40" s="22"/>
      <c r="H40" s="22"/>
      <c r="I40" s="22"/>
      <c r="J40" s="22"/>
      <c r="K40" s="69">
        <f t="shared" si="0"/>
        <v>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59" ht="12.75" hidden="1">
      <c r="A41" s="66"/>
      <c r="B41" s="67" t="s">
        <v>176</v>
      </c>
      <c r="C41" s="27">
        <f t="shared" si="1"/>
        <v>0</v>
      </c>
      <c r="D41" s="22"/>
      <c r="E41" s="22"/>
      <c r="F41" s="22"/>
      <c r="G41" s="22"/>
      <c r="H41" s="22"/>
      <c r="I41" s="22"/>
      <c r="J41" s="22"/>
      <c r="K41" s="69">
        <f t="shared" si="0"/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1:59" ht="12.75" hidden="1">
      <c r="A42" s="66"/>
      <c r="B42" s="67" t="s">
        <v>177</v>
      </c>
      <c r="C42" s="27">
        <f t="shared" si="1"/>
        <v>0</v>
      </c>
      <c r="D42" s="22"/>
      <c r="E42" s="22"/>
      <c r="F42" s="22"/>
      <c r="G42" s="22"/>
      <c r="H42" s="22"/>
      <c r="I42" s="22"/>
      <c r="J42" s="22"/>
      <c r="K42" s="69">
        <f t="shared" si="0"/>
        <v>0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59" ht="12.75" hidden="1">
      <c r="A43" s="66"/>
      <c r="B43" s="67" t="s">
        <v>173</v>
      </c>
      <c r="C43" s="27">
        <f t="shared" si="1"/>
        <v>0</v>
      </c>
      <c r="D43" s="22"/>
      <c r="E43" s="22"/>
      <c r="F43" s="22"/>
      <c r="G43" s="22"/>
      <c r="H43" s="22"/>
      <c r="I43" s="22"/>
      <c r="J43" s="22"/>
      <c r="K43" s="69">
        <f t="shared" si="0"/>
        <v>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1:59" ht="38.25">
      <c r="A44" s="66"/>
      <c r="B44" s="67" t="s">
        <v>186</v>
      </c>
      <c r="C44" s="27">
        <f t="shared" si="1"/>
        <v>4255.5</v>
      </c>
      <c r="D44" s="22"/>
      <c r="E44" s="22"/>
      <c r="F44" s="22">
        <f>5105.5-50-1000+200</f>
        <v>4255.5</v>
      </c>
      <c r="G44" s="22"/>
      <c r="H44" s="22"/>
      <c r="I44" s="22"/>
      <c r="J44" s="22"/>
      <c r="K44" s="69">
        <f t="shared" si="0"/>
        <v>4255.5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</row>
    <row r="45" spans="1:12" s="18" customFormat="1" ht="12.75">
      <c r="A45" s="58"/>
      <c r="B45" s="51" t="s">
        <v>540</v>
      </c>
      <c r="C45" s="42">
        <f aca="true" t="shared" si="2" ref="C45:K45">C46+C57+C59</f>
        <v>222962.8</v>
      </c>
      <c r="D45" s="42">
        <f>D46+D57+D59</f>
        <v>80634.99999999999</v>
      </c>
      <c r="E45" s="42">
        <f t="shared" si="2"/>
        <v>21396.7</v>
      </c>
      <c r="F45" s="42">
        <f t="shared" si="2"/>
        <v>120931.1</v>
      </c>
      <c r="G45" s="42">
        <f t="shared" si="2"/>
        <v>0</v>
      </c>
      <c r="H45" s="42">
        <f t="shared" si="2"/>
        <v>3464.9</v>
      </c>
      <c r="I45" s="42">
        <f t="shared" si="2"/>
        <v>0</v>
      </c>
      <c r="J45" s="42">
        <f t="shared" si="2"/>
        <v>0</v>
      </c>
      <c r="K45" s="59">
        <f t="shared" si="2"/>
        <v>226427.69999999998</v>
      </c>
      <c r="L45" s="25">
        <f>K45-K57</f>
        <v>225601.4</v>
      </c>
    </row>
    <row r="46" spans="1:59" ht="31.5" customHeight="1">
      <c r="A46" s="60" t="s">
        <v>280</v>
      </c>
      <c r="B46" s="21" t="s">
        <v>132</v>
      </c>
      <c r="C46" s="27">
        <f>D46+E46+F46+G46</f>
        <v>221982.6</v>
      </c>
      <c r="D46" s="27">
        <f>69179.9+4012.9+6928.3</f>
        <v>80121.09999999999</v>
      </c>
      <c r="E46" s="27">
        <v>21396.7</v>
      </c>
      <c r="F46" s="27">
        <f>91745.8+132.8+6500-132.8+1452.7+98.6+5000+2508+8469.6+4690.1</f>
        <v>120464.80000000002</v>
      </c>
      <c r="G46" s="27"/>
      <c r="H46" s="22">
        <v>3464.9</v>
      </c>
      <c r="I46" s="22"/>
      <c r="J46" s="22"/>
      <c r="K46" s="69">
        <f aca="true" t="shared" si="3" ref="K46:K56">C46+H46</f>
        <v>225447.5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1:59" ht="18.75" customHeight="1">
      <c r="A47" s="60"/>
      <c r="B47" s="37" t="s">
        <v>535</v>
      </c>
      <c r="C47" s="27">
        <f>D47+E47+F47+G47</f>
        <v>251.4</v>
      </c>
      <c r="D47" s="22"/>
      <c r="E47" s="22"/>
      <c r="F47" s="22">
        <f>242.9+8.5</f>
        <v>251.4</v>
      </c>
      <c r="G47" s="22"/>
      <c r="H47" s="22"/>
      <c r="I47" s="22"/>
      <c r="J47" s="22"/>
      <c r="K47" s="69">
        <f t="shared" si="3"/>
        <v>251.4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59" ht="51" customHeight="1" hidden="1">
      <c r="A48" s="60"/>
      <c r="B48" s="67" t="s">
        <v>133</v>
      </c>
      <c r="C48" s="27">
        <f>D48+E48+F48+G48</f>
        <v>0</v>
      </c>
      <c r="D48" s="22"/>
      <c r="E48" s="22"/>
      <c r="F48" s="22"/>
      <c r="G48" s="22"/>
      <c r="H48" s="22"/>
      <c r="I48" s="22"/>
      <c r="J48" s="22"/>
      <c r="K48" s="69">
        <f t="shared" si="3"/>
        <v>0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1:59" ht="51" customHeight="1" hidden="1">
      <c r="A49" s="60"/>
      <c r="B49" s="37" t="s">
        <v>182</v>
      </c>
      <c r="C49" s="27">
        <f>D49+E49+F49+G49</f>
        <v>0</v>
      </c>
      <c r="D49" s="22"/>
      <c r="E49" s="22"/>
      <c r="F49" s="22"/>
      <c r="G49" s="22"/>
      <c r="H49" s="22"/>
      <c r="I49" s="22"/>
      <c r="J49" s="22"/>
      <c r="K49" s="69">
        <f t="shared" si="3"/>
        <v>0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1:59" ht="54.75" customHeight="1" hidden="1">
      <c r="A50" s="60"/>
      <c r="B50" s="37" t="s">
        <v>187</v>
      </c>
      <c r="C50" s="27">
        <f>D50+E50+F50+G50</f>
        <v>0</v>
      </c>
      <c r="D50" s="22"/>
      <c r="E50" s="22"/>
      <c r="F50" s="22"/>
      <c r="G50" s="22"/>
      <c r="H50" s="22"/>
      <c r="I50" s="22"/>
      <c r="J50" s="22"/>
      <c r="K50" s="69">
        <f t="shared" si="3"/>
        <v>0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1:59" ht="45.75" customHeight="1" hidden="1">
      <c r="A51" s="60"/>
      <c r="B51" s="37" t="s">
        <v>188</v>
      </c>
      <c r="C51" s="27"/>
      <c r="D51" s="22"/>
      <c r="E51" s="22"/>
      <c r="F51" s="22"/>
      <c r="G51" s="22"/>
      <c r="H51" s="22"/>
      <c r="I51" s="22"/>
      <c r="J51" s="22"/>
      <c r="K51" s="69">
        <f t="shared" si="3"/>
        <v>0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1:59" ht="56.25" customHeight="1">
      <c r="A52" s="60" t="s">
        <v>73</v>
      </c>
      <c r="B52" s="67" t="s">
        <v>536</v>
      </c>
      <c r="C52" s="27">
        <f>D52+E52+F52+G52</f>
        <v>1229.9</v>
      </c>
      <c r="D52" s="22">
        <f>565.9+32.7+56.7</f>
        <v>655.3000000000001</v>
      </c>
      <c r="E52" s="22">
        <v>121.2</v>
      </c>
      <c r="F52" s="22">
        <f>421.1+11.8+20.5</f>
        <v>453.40000000000003</v>
      </c>
      <c r="G52" s="22"/>
      <c r="H52" s="22">
        <v>190.3</v>
      </c>
      <c r="I52" s="22"/>
      <c r="J52" s="22"/>
      <c r="K52" s="69">
        <f t="shared" si="3"/>
        <v>1420.2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1:59" ht="24" customHeight="1">
      <c r="A53" s="60" t="s">
        <v>74</v>
      </c>
      <c r="B53" s="21" t="s">
        <v>75</v>
      </c>
      <c r="C53" s="27">
        <f>D53+E53+F53+G53</f>
        <v>4344.6</v>
      </c>
      <c r="D53" s="22">
        <f>SUM(D54:D55)</f>
        <v>0</v>
      </c>
      <c r="E53" s="22">
        <f>SUM(E54:E55)</f>
        <v>0</v>
      </c>
      <c r="F53" s="22">
        <f>SUM(F54:F55)</f>
        <v>4344.6</v>
      </c>
      <c r="G53" s="22">
        <f>SUM(G54:G55)</f>
        <v>0</v>
      </c>
      <c r="H53" s="22">
        <f>SUM(H54:H55)</f>
        <v>1605.5</v>
      </c>
      <c r="I53" s="22"/>
      <c r="J53" s="22"/>
      <c r="K53" s="69">
        <f t="shared" si="3"/>
        <v>5950.1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1:59" ht="45.75" customHeight="1">
      <c r="A54" s="60"/>
      <c r="B54" s="21" t="s">
        <v>537</v>
      </c>
      <c r="C54" s="27">
        <f>D54+E54+F54</f>
        <v>4344.6</v>
      </c>
      <c r="D54" s="22"/>
      <c r="E54" s="22"/>
      <c r="F54" s="22">
        <v>4344.6</v>
      </c>
      <c r="G54" s="22"/>
      <c r="H54" s="22"/>
      <c r="I54" s="22"/>
      <c r="J54" s="22"/>
      <c r="K54" s="69">
        <f t="shared" si="3"/>
        <v>4344.6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1:59" ht="42.75" customHeight="1">
      <c r="A55" s="60"/>
      <c r="B55" s="21" t="s">
        <v>539</v>
      </c>
      <c r="C55" s="27">
        <f>D55+E55+F55</f>
        <v>0</v>
      </c>
      <c r="D55" s="22"/>
      <c r="E55" s="22"/>
      <c r="F55" s="22"/>
      <c r="G55" s="22"/>
      <c r="H55" s="22">
        <v>1605.5</v>
      </c>
      <c r="I55" s="22"/>
      <c r="J55" s="22"/>
      <c r="K55" s="69">
        <f t="shared" si="3"/>
        <v>1605.5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1:59" ht="51" customHeight="1">
      <c r="A56" s="60" t="s">
        <v>214</v>
      </c>
      <c r="B56" s="21" t="s">
        <v>213</v>
      </c>
      <c r="C56" s="27">
        <f>D56+E56+F56+G56</f>
        <v>2486.6</v>
      </c>
      <c r="D56" s="22"/>
      <c r="E56" s="22"/>
      <c r="F56" s="22">
        <v>2486.6</v>
      </c>
      <c r="G56" s="22"/>
      <c r="H56" s="22"/>
      <c r="I56" s="22"/>
      <c r="J56" s="22"/>
      <c r="K56" s="69">
        <f t="shared" si="3"/>
        <v>2486.6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1:59" ht="25.5" customHeight="1">
      <c r="A57" s="60" t="s">
        <v>202</v>
      </c>
      <c r="B57" s="37" t="s">
        <v>338</v>
      </c>
      <c r="C57" s="27">
        <f>D57+E57+F57</f>
        <v>826.3</v>
      </c>
      <c r="D57" s="22">
        <f>440.9+22.8+50.2</f>
        <v>513.9</v>
      </c>
      <c r="E57" s="22"/>
      <c r="F57" s="22">
        <f>285.9+8.3+18.2</f>
        <v>312.4</v>
      </c>
      <c r="G57" s="22"/>
      <c r="H57" s="22"/>
      <c r="I57" s="22"/>
      <c r="J57" s="22"/>
      <c r="K57" s="69">
        <f t="shared" si="0"/>
        <v>826.3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1:59" ht="12.75" hidden="1">
      <c r="A58" s="66" t="s">
        <v>226</v>
      </c>
      <c r="B58" s="21" t="s">
        <v>227</v>
      </c>
      <c r="C58" s="27">
        <f>D58+E58+F58</f>
        <v>0</v>
      </c>
      <c r="D58" s="22"/>
      <c r="E58" s="22"/>
      <c r="F58" s="22"/>
      <c r="G58" s="22"/>
      <c r="H58" s="22"/>
      <c r="I58" s="22"/>
      <c r="J58" s="22"/>
      <c r="K58" s="69">
        <f t="shared" si="0"/>
        <v>0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1:59" ht="38.25">
      <c r="A59" s="66" t="s">
        <v>40</v>
      </c>
      <c r="B59" s="21" t="s">
        <v>52</v>
      </c>
      <c r="C59" s="27">
        <f>D59+E59+F59</f>
        <v>153.9</v>
      </c>
      <c r="D59" s="22"/>
      <c r="E59" s="22"/>
      <c r="F59" s="22">
        <v>153.9</v>
      </c>
      <c r="G59" s="22"/>
      <c r="H59" s="22"/>
      <c r="I59" s="22"/>
      <c r="J59" s="22"/>
      <c r="K59" s="69">
        <f>C59+H59</f>
        <v>153.9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1:59" ht="27.75" customHeight="1">
      <c r="A60" s="66"/>
      <c r="B60" s="67" t="s">
        <v>78</v>
      </c>
      <c r="C60" s="27">
        <f>D60+E60+F60</f>
        <v>153.9</v>
      </c>
      <c r="D60" s="22"/>
      <c r="E60" s="22"/>
      <c r="F60" s="22">
        <v>153.9</v>
      </c>
      <c r="G60" s="22"/>
      <c r="H60" s="22"/>
      <c r="I60" s="22"/>
      <c r="J60" s="22"/>
      <c r="K60" s="69">
        <f t="shared" si="0"/>
        <v>153.9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1:59" s="18" customFormat="1" ht="12.75">
      <c r="A61" s="58"/>
      <c r="B61" s="52" t="s">
        <v>274</v>
      </c>
      <c r="C61" s="42">
        <f>C62+C69+C71+C76</f>
        <v>605316</v>
      </c>
      <c r="D61" s="42">
        <f>D62+D69+D71</f>
        <v>247639.2</v>
      </c>
      <c r="E61" s="42">
        <f>E62+E69+E71</f>
        <v>53671.600000000006</v>
      </c>
      <c r="F61" s="42">
        <f>F62+F69+F71+F76</f>
        <v>304005.20000000007</v>
      </c>
      <c r="G61" s="42">
        <f>G62+G69+G71+G68</f>
        <v>0</v>
      </c>
      <c r="H61" s="42">
        <f>H62+H69+H71</f>
        <v>23671.4</v>
      </c>
      <c r="I61" s="42">
        <f>I62+I69+I71+I68</f>
        <v>0</v>
      </c>
      <c r="J61" s="42">
        <f>J62+J69+J71+J68</f>
        <v>0</v>
      </c>
      <c r="K61" s="59">
        <f>K62+K69+K71+K76</f>
        <v>628987.4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</row>
    <row r="62" spans="1:59" ht="40.5" customHeight="1">
      <c r="A62" s="60" t="s">
        <v>282</v>
      </c>
      <c r="B62" s="37" t="s">
        <v>84</v>
      </c>
      <c r="C62" s="27">
        <f>D62+E62+F62+G62</f>
        <v>584434.5</v>
      </c>
      <c r="D62" s="22">
        <f>209026.7+12218.9+18625.4</f>
        <v>239871</v>
      </c>
      <c r="E62" s="22">
        <v>51954.4</v>
      </c>
      <c r="F62" s="22">
        <f>F68+203519.7+F65+F66+F67+23124+5000+4423.2+6742.4+17479.9+10300</f>
        <v>292609.10000000003</v>
      </c>
      <c r="G62" s="22">
        <f>G63</f>
        <v>0</v>
      </c>
      <c r="H62" s="22">
        <f>16025+H67</f>
        <v>18993.5</v>
      </c>
      <c r="I62" s="22"/>
      <c r="J62" s="22"/>
      <c r="K62" s="69">
        <f t="shared" si="0"/>
        <v>603428</v>
      </c>
      <c r="L62" s="85">
        <f>C62+C144</f>
        <v>585504.9</v>
      </c>
      <c r="M62" s="139">
        <f>'№2'!C23</f>
        <v>585504.9</v>
      </c>
      <c r="N62" s="85">
        <f>L62-M62</f>
        <v>0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1:59" ht="24" customHeight="1" hidden="1">
      <c r="A63" s="60"/>
      <c r="B63" s="21" t="s">
        <v>136</v>
      </c>
      <c r="C63" s="27">
        <f>D63+E63+F63+G63</f>
        <v>0</v>
      </c>
      <c r="D63" s="22"/>
      <c r="E63" s="22"/>
      <c r="F63" s="22"/>
      <c r="G63" s="22"/>
      <c r="H63" s="22"/>
      <c r="I63" s="22"/>
      <c r="J63" s="22"/>
      <c r="K63" s="69">
        <f t="shared" si="0"/>
        <v>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1:59" ht="27.75" customHeight="1">
      <c r="A64" s="60"/>
      <c r="B64" s="37" t="s">
        <v>245</v>
      </c>
      <c r="C64" s="27">
        <f aca="true" t="shared" si="4" ref="C64:C77">D64+E64+F64</f>
        <v>9475.1</v>
      </c>
      <c r="D64" s="22"/>
      <c r="E64" s="22"/>
      <c r="F64" s="22">
        <f>9475.1</f>
        <v>9475.1</v>
      </c>
      <c r="G64" s="22"/>
      <c r="H64" s="22"/>
      <c r="I64" s="22"/>
      <c r="J64" s="22"/>
      <c r="K64" s="69">
        <f t="shared" si="0"/>
        <v>9475.1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1:59" ht="51">
      <c r="A65" s="60" t="s">
        <v>79</v>
      </c>
      <c r="B65" s="37" t="s">
        <v>87</v>
      </c>
      <c r="C65" s="27">
        <v>20000</v>
      </c>
      <c r="D65" s="22"/>
      <c r="E65" s="22"/>
      <c r="F65" s="22">
        <v>20000</v>
      </c>
      <c r="G65" s="22"/>
      <c r="H65" s="22"/>
      <c r="I65" s="22"/>
      <c r="J65" s="22"/>
      <c r="K65" s="69">
        <f>H65+C65</f>
        <v>20000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1:59" ht="51">
      <c r="A66" s="60" t="s">
        <v>79</v>
      </c>
      <c r="B66" s="37" t="s">
        <v>88</v>
      </c>
      <c r="C66" s="27">
        <v>1970.1</v>
      </c>
      <c r="D66" s="22"/>
      <c r="E66" s="22"/>
      <c r="F66" s="22">
        <v>1970.1</v>
      </c>
      <c r="G66" s="22"/>
      <c r="H66" s="22"/>
      <c r="I66" s="22"/>
      <c r="J66" s="22"/>
      <c r="K66" s="69">
        <f>H66+C66</f>
        <v>1970.1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1:59" ht="63.75">
      <c r="A67" s="60" t="s">
        <v>79</v>
      </c>
      <c r="B67" s="37" t="s">
        <v>89</v>
      </c>
      <c r="C67" s="27">
        <v>0</v>
      </c>
      <c r="D67" s="22"/>
      <c r="E67" s="22"/>
      <c r="F67" s="22"/>
      <c r="G67" s="22"/>
      <c r="H67" s="22">
        <v>2968.5</v>
      </c>
      <c r="I67" s="22"/>
      <c r="J67" s="22"/>
      <c r="K67" s="69">
        <f>H67+C67</f>
        <v>2968.5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</row>
    <row r="68" spans="1:59" ht="63.75">
      <c r="A68" s="60" t="s">
        <v>346</v>
      </c>
      <c r="B68" s="21" t="s">
        <v>213</v>
      </c>
      <c r="C68" s="27">
        <f t="shared" si="4"/>
        <v>49.8</v>
      </c>
      <c r="D68" s="22"/>
      <c r="E68" s="22"/>
      <c r="F68" s="22">
        <v>49.8</v>
      </c>
      <c r="G68" s="22"/>
      <c r="H68" s="22"/>
      <c r="I68" s="22"/>
      <c r="J68" s="22"/>
      <c r="K68" s="69">
        <f t="shared" si="0"/>
        <v>49.8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59" ht="45.75" customHeight="1">
      <c r="A69" s="60" t="s">
        <v>280</v>
      </c>
      <c r="B69" s="37" t="s">
        <v>77</v>
      </c>
      <c r="C69" s="27">
        <f t="shared" si="4"/>
        <v>17127.7</v>
      </c>
      <c r="D69" s="22">
        <f>6480+355.1+630.5</f>
        <v>7465.6</v>
      </c>
      <c r="E69" s="22">
        <v>1678.9</v>
      </c>
      <c r="F69" s="22">
        <f>7394.8+132.8+128.5+98.9+228.2</f>
        <v>7983.2</v>
      </c>
      <c r="G69" s="22"/>
      <c r="H69" s="22">
        <v>4677.9</v>
      </c>
      <c r="I69" s="22"/>
      <c r="J69" s="22"/>
      <c r="K69" s="69">
        <f t="shared" si="0"/>
        <v>21805.6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59" ht="63.75">
      <c r="A70" s="60" t="s">
        <v>214</v>
      </c>
      <c r="B70" s="21" t="s">
        <v>213</v>
      </c>
      <c r="C70" s="27">
        <f t="shared" si="4"/>
        <v>188.6</v>
      </c>
      <c r="D70" s="22"/>
      <c r="E70" s="22"/>
      <c r="F70" s="22">
        <v>188.6</v>
      </c>
      <c r="G70" s="22"/>
      <c r="H70" s="22"/>
      <c r="I70" s="22"/>
      <c r="J70" s="22"/>
      <c r="K70" s="69">
        <f t="shared" si="0"/>
        <v>188.6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ht="12.75">
      <c r="A71" s="60" t="s">
        <v>203</v>
      </c>
      <c r="B71" s="37" t="s">
        <v>339</v>
      </c>
      <c r="C71" s="27">
        <f t="shared" si="4"/>
        <v>753.8</v>
      </c>
      <c r="D71" s="22">
        <f>260.7+15+26.9</f>
        <v>302.59999999999997</v>
      </c>
      <c r="E71" s="22">
        <v>38.3</v>
      </c>
      <c r="F71" s="22">
        <f>342.8+55+5.4+9.7</f>
        <v>412.9</v>
      </c>
      <c r="G71" s="22"/>
      <c r="H71" s="22">
        <v>0</v>
      </c>
      <c r="I71" s="22"/>
      <c r="J71" s="22"/>
      <c r="K71" s="69">
        <f t="shared" si="0"/>
        <v>753.8</v>
      </c>
      <c r="L71" s="85">
        <f>C71+C112+C114+C121+C122+C124+C129</f>
        <v>56392.299999999996</v>
      </c>
      <c r="M71" s="28">
        <f>'№2'!C67</f>
        <v>59573.40000000001</v>
      </c>
      <c r="N71" s="85">
        <f>L71-M71</f>
        <v>-3181.100000000013</v>
      </c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59" ht="12.75" hidden="1">
      <c r="A72" s="60" t="s">
        <v>140</v>
      </c>
      <c r="B72" s="17" t="s">
        <v>309</v>
      </c>
      <c r="C72" s="27">
        <f t="shared" si="4"/>
        <v>0</v>
      </c>
      <c r="D72" s="22"/>
      <c r="E72" s="22"/>
      <c r="F72" s="22"/>
      <c r="G72" s="22"/>
      <c r="H72" s="22">
        <f>I72</f>
        <v>0</v>
      </c>
      <c r="I72" s="22"/>
      <c r="J72" s="22"/>
      <c r="K72" s="69">
        <f t="shared" si="0"/>
        <v>0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13" s="18" customFormat="1" ht="25.5" hidden="1">
      <c r="A73" s="66" t="s">
        <v>16</v>
      </c>
      <c r="B73" s="67" t="s">
        <v>17</v>
      </c>
      <c r="C73" s="27">
        <f t="shared" si="4"/>
        <v>0</v>
      </c>
      <c r="D73" s="27"/>
      <c r="E73" s="27"/>
      <c r="F73" s="27"/>
      <c r="G73" s="27"/>
      <c r="H73" s="27">
        <f>I73</f>
        <v>0</v>
      </c>
      <c r="I73" s="27"/>
      <c r="J73" s="27"/>
      <c r="K73" s="69">
        <f t="shared" si="0"/>
        <v>0</v>
      </c>
      <c r="L73" s="25"/>
      <c r="M73" s="26"/>
    </row>
    <row r="74" spans="1:13" s="18" customFormat="1" ht="12.75" hidden="1">
      <c r="A74" s="66" t="s">
        <v>20</v>
      </c>
      <c r="B74" s="17" t="s">
        <v>21</v>
      </c>
      <c r="C74" s="27">
        <f t="shared" si="4"/>
        <v>0</v>
      </c>
      <c r="D74" s="27"/>
      <c r="E74" s="27"/>
      <c r="F74" s="27"/>
      <c r="G74" s="27"/>
      <c r="H74" s="27">
        <f>I74</f>
        <v>0</v>
      </c>
      <c r="I74" s="27"/>
      <c r="J74" s="27"/>
      <c r="K74" s="69">
        <f t="shared" si="0"/>
        <v>0</v>
      </c>
      <c r="L74" s="25"/>
      <c r="M74" s="26"/>
    </row>
    <row r="75" spans="1:13" s="18" customFormat="1" ht="12.75" hidden="1">
      <c r="A75" s="66" t="s">
        <v>226</v>
      </c>
      <c r="B75" s="21" t="s">
        <v>227</v>
      </c>
      <c r="C75" s="27">
        <f t="shared" si="4"/>
        <v>0</v>
      </c>
      <c r="D75" s="27"/>
      <c r="E75" s="27"/>
      <c r="F75" s="27"/>
      <c r="G75" s="27"/>
      <c r="H75" s="27">
        <f>I75</f>
        <v>0</v>
      </c>
      <c r="I75" s="27"/>
      <c r="J75" s="27"/>
      <c r="K75" s="69">
        <f t="shared" si="0"/>
        <v>0</v>
      </c>
      <c r="L75" s="25"/>
      <c r="M75" s="26"/>
    </row>
    <row r="76" spans="1:12" s="18" customFormat="1" ht="47.25" customHeight="1">
      <c r="A76" s="123" t="s">
        <v>40</v>
      </c>
      <c r="B76" s="67" t="s">
        <v>175</v>
      </c>
      <c r="C76" s="27">
        <f t="shared" si="4"/>
        <v>3000</v>
      </c>
      <c r="D76" s="27"/>
      <c r="E76" s="27"/>
      <c r="F76" s="27">
        <f>F77</f>
        <v>3000</v>
      </c>
      <c r="G76" s="27"/>
      <c r="H76" s="27"/>
      <c r="I76" s="27"/>
      <c r="J76" s="27"/>
      <c r="K76" s="69">
        <f t="shared" si="0"/>
        <v>3000</v>
      </c>
      <c r="L76" s="20"/>
    </row>
    <row r="77" spans="1:59" ht="51">
      <c r="A77" s="124"/>
      <c r="B77" s="17" t="s">
        <v>643</v>
      </c>
      <c r="C77" s="27">
        <f t="shared" si="4"/>
        <v>3000</v>
      </c>
      <c r="D77" s="144"/>
      <c r="E77" s="144"/>
      <c r="F77" s="27">
        <v>3000</v>
      </c>
      <c r="G77" s="144"/>
      <c r="H77" s="27"/>
      <c r="I77" s="27"/>
      <c r="J77" s="27"/>
      <c r="K77" s="27">
        <f t="shared" si="0"/>
        <v>3000</v>
      </c>
      <c r="L77" s="196"/>
      <c r="M77" s="196"/>
      <c r="N77" s="196"/>
      <c r="O77" s="19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18" customFormat="1" ht="25.5" customHeight="1">
      <c r="A78" s="58"/>
      <c r="B78" s="52" t="s">
        <v>275</v>
      </c>
      <c r="C78" s="42">
        <f>D78+E78+F78+G78</f>
        <v>111511.8</v>
      </c>
      <c r="D78" s="42">
        <f>D80+D81+D82+D83+D87+D88+D90+D91+D92+D93+D85+D86+D100+D89+D79</f>
        <v>36667.1</v>
      </c>
      <c r="E78" s="42">
        <f>E80+E81+E82+E83+E87+E88+E90+E91+E92+E93+E85+E86+E100+E89+E79</f>
        <v>14735.7</v>
      </c>
      <c r="F78" s="42">
        <f>F80+F81+F82+F83+F87+F88+F90+F91+F92+F93+F85+F86+F100+F89+F79+F97+F98</f>
        <v>60109</v>
      </c>
      <c r="G78" s="42">
        <f>G80+G81+G82+G83+G87+G88+G90+G91+G92+G93+G85+G86++G89+G79</f>
        <v>0</v>
      </c>
      <c r="H78" s="42">
        <f>H80+H81+H82+H83+H87+H88+H90+H91+H92+H93+H85+H86+H89+H79+H99</f>
        <v>19866.299999999996</v>
      </c>
      <c r="I78" s="42">
        <f>I80+I81+I82+I83+I87+I88+I90+I91+I92+I93+I85+I86+I100+I89+I79</f>
        <v>0</v>
      </c>
      <c r="J78" s="42" t="e">
        <f>J80+J81+J82+J83+J87+J88+J90+J91+J92+J93+J85+J86+#REF!+J89+J79</f>
        <v>#REF!</v>
      </c>
      <c r="K78" s="59">
        <f>C78+H78</f>
        <v>131378.1</v>
      </c>
      <c r="L78" s="36">
        <v>34063.4</v>
      </c>
      <c r="M78" s="36">
        <v>55089.5</v>
      </c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1:12" s="18" customFormat="1" ht="31.5" customHeight="1">
      <c r="A79" s="60" t="s">
        <v>69</v>
      </c>
      <c r="B79" s="176" t="s">
        <v>70</v>
      </c>
      <c r="C79" s="27">
        <f>D79+E79+F79</f>
        <v>2221.7</v>
      </c>
      <c r="D79" s="149"/>
      <c r="E79" s="149"/>
      <c r="F79" s="27">
        <v>2221.7</v>
      </c>
      <c r="G79" s="149"/>
      <c r="H79" s="149"/>
      <c r="I79" s="149"/>
      <c r="J79" s="149"/>
      <c r="K79" s="61">
        <f>C79+H79</f>
        <v>2221.7</v>
      </c>
      <c r="L79" s="25"/>
    </row>
    <row r="80" spans="1:59" ht="15" customHeight="1">
      <c r="A80" s="60" t="s">
        <v>290</v>
      </c>
      <c r="B80" s="21" t="s">
        <v>291</v>
      </c>
      <c r="C80" s="27">
        <f>D80+E80+F80</f>
        <v>0.6</v>
      </c>
      <c r="D80" s="22"/>
      <c r="E80" s="22"/>
      <c r="F80" s="22">
        <v>0.6</v>
      </c>
      <c r="G80" s="22"/>
      <c r="H80" s="22"/>
      <c r="I80" s="22"/>
      <c r="J80" s="22"/>
      <c r="K80" s="69">
        <f t="shared" si="0"/>
        <v>0.6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ht="12.75">
      <c r="A81" s="60" t="s">
        <v>613</v>
      </c>
      <c r="B81" s="17" t="s">
        <v>614</v>
      </c>
      <c r="C81" s="27">
        <f>D81+E81+F81</f>
        <v>15678</v>
      </c>
      <c r="D81" s="27">
        <f>5615.2+393.6+471+55</f>
        <v>6534.8</v>
      </c>
      <c r="E81" s="27">
        <v>1870.5</v>
      </c>
      <c r="F81" s="27">
        <f>5979.8+360+142.5+170.5+619.9</f>
        <v>7272.7</v>
      </c>
      <c r="G81" s="22"/>
      <c r="H81" s="22">
        <v>1725.6</v>
      </c>
      <c r="I81" s="22"/>
      <c r="J81" s="22"/>
      <c r="K81" s="69">
        <f t="shared" si="0"/>
        <v>17403.6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25.5">
      <c r="A82" s="60" t="s">
        <v>615</v>
      </c>
      <c r="B82" s="17" t="s">
        <v>616</v>
      </c>
      <c r="C82" s="27">
        <f>D82+E82+F82+G82</f>
        <v>78791.79999999999</v>
      </c>
      <c r="D82" s="27">
        <f>24461.3+1574.7+1506+341.1</f>
        <v>27883.1</v>
      </c>
      <c r="E82" s="27">
        <v>12709.6</v>
      </c>
      <c r="F82" s="27">
        <f>31020.4+2540+570+545.2+3523.5</f>
        <v>38199.1</v>
      </c>
      <c r="G82" s="22"/>
      <c r="H82" s="22">
        <v>17641.1</v>
      </c>
      <c r="I82" s="22"/>
      <c r="J82" s="22"/>
      <c r="K82" s="69">
        <f t="shared" si="0"/>
        <v>96432.9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4.25" customHeight="1">
      <c r="A83" s="60" t="s">
        <v>292</v>
      </c>
      <c r="B83" s="21" t="s">
        <v>293</v>
      </c>
      <c r="C83" s="27">
        <f>D83+E83+F83+G83</f>
        <v>3004.8999999999996</v>
      </c>
      <c r="D83" s="22"/>
      <c r="E83" s="22"/>
      <c r="F83" s="22">
        <f>4165.9+715-1930.9+27.9+2046.5-2019.5</f>
        <v>3004.8999999999996</v>
      </c>
      <c r="G83" s="22"/>
      <c r="H83" s="22">
        <v>5</v>
      </c>
      <c r="I83" s="22"/>
      <c r="J83" s="22"/>
      <c r="K83" s="69">
        <f t="shared" si="0"/>
        <v>3009.8999999999996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ht="14.25" customHeight="1" hidden="1">
      <c r="A84" s="60"/>
      <c r="B84" s="17" t="s">
        <v>72</v>
      </c>
      <c r="C84" s="27">
        <f>D84+E84+F84+G84</f>
        <v>0</v>
      </c>
      <c r="D84" s="22"/>
      <c r="E84" s="22"/>
      <c r="F84" s="22"/>
      <c r="G84" s="22"/>
      <c r="H84" s="22"/>
      <c r="I84" s="22"/>
      <c r="J84" s="22"/>
      <c r="K84" s="69">
        <f t="shared" si="0"/>
        <v>0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59" ht="14.25" customHeight="1">
      <c r="A85" s="60" t="s">
        <v>611</v>
      </c>
      <c r="B85" s="17" t="s">
        <v>612</v>
      </c>
      <c r="C85" s="27">
        <f>D85+E85+F85</f>
        <v>1259.6</v>
      </c>
      <c r="D85" s="27"/>
      <c r="E85" s="27"/>
      <c r="F85" s="27">
        <v>1259.6</v>
      </c>
      <c r="G85" s="27"/>
      <c r="H85" s="27"/>
      <c r="I85" s="27"/>
      <c r="J85" s="27"/>
      <c r="K85" s="61">
        <f t="shared" si="0"/>
        <v>1259.6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59" ht="15" customHeight="1">
      <c r="A86" s="60" t="s">
        <v>150</v>
      </c>
      <c r="B86" s="17" t="s">
        <v>174</v>
      </c>
      <c r="C86" s="27">
        <f>D86+E86+F86</f>
        <v>1261</v>
      </c>
      <c r="D86" s="27"/>
      <c r="E86" s="27"/>
      <c r="F86" s="27">
        <v>1261</v>
      </c>
      <c r="G86" s="27"/>
      <c r="H86" s="27"/>
      <c r="I86" s="27"/>
      <c r="J86" s="27"/>
      <c r="K86" s="61">
        <f t="shared" si="0"/>
        <v>1261</v>
      </c>
      <c r="L86" s="7"/>
      <c r="M86" s="1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25.5">
      <c r="A87" s="60" t="s">
        <v>294</v>
      </c>
      <c r="B87" s="21" t="s">
        <v>340</v>
      </c>
      <c r="C87" s="27">
        <f aca="true" t="shared" si="5" ref="C87:C112">D87+E87+F87</f>
        <v>621.2</v>
      </c>
      <c r="D87" s="22"/>
      <c r="E87" s="22"/>
      <c r="F87" s="22">
        <v>621.2</v>
      </c>
      <c r="G87" s="22"/>
      <c r="H87" s="22"/>
      <c r="I87" s="22"/>
      <c r="J87" s="22"/>
      <c r="K87" s="69">
        <f t="shared" si="0"/>
        <v>621.2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ht="38.25" hidden="1">
      <c r="A88" s="60"/>
      <c r="B88" s="17" t="s">
        <v>196</v>
      </c>
      <c r="C88" s="27">
        <f>D88+E88+F88</f>
        <v>0</v>
      </c>
      <c r="D88" s="22"/>
      <c r="E88" s="22"/>
      <c r="F88" s="88"/>
      <c r="G88" s="22"/>
      <c r="H88" s="22"/>
      <c r="I88" s="22"/>
      <c r="J88" s="22"/>
      <c r="K88" s="69">
        <f>C88+H88</f>
        <v>0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59" ht="12.75" hidden="1">
      <c r="A89" s="60" t="s">
        <v>225</v>
      </c>
      <c r="B89" s="132" t="s">
        <v>224</v>
      </c>
      <c r="C89" s="27">
        <f t="shared" si="5"/>
        <v>0</v>
      </c>
      <c r="D89" s="22"/>
      <c r="E89" s="22"/>
      <c r="F89" s="22"/>
      <c r="G89" s="22"/>
      <c r="H89" s="22"/>
      <c r="I89" s="22"/>
      <c r="J89" s="22"/>
      <c r="K89" s="69">
        <f t="shared" si="0"/>
        <v>0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59" ht="53.25" customHeight="1">
      <c r="A90" s="60" t="s">
        <v>296</v>
      </c>
      <c r="B90" s="21" t="s">
        <v>631</v>
      </c>
      <c r="C90" s="27">
        <f t="shared" si="5"/>
        <v>1490.4</v>
      </c>
      <c r="D90" s="22"/>
      <c r="E90" s="22"/>
      <c r="F90" s="22">
        <v>1490.4</v>
      </c>
      <c r="G90" s="22"/>
      <c r="H90" s="22"/>
      <c r="I90" s="22"/>
      <c r="J90" s="22"/>
      <c r="K90" s="69">
        <f t="shared" si="0"/>
        <v>1490.4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1:59" ht="25.5">
      <c r="A91" s="60" t="s">
        <v>297</v>
      </c>
      <c r="B91" s="37" t="s">
        <v>298</v>
      </c>
      <c r="C91" s="27">
        <f t="shared" si="5"/>
        <v>770.2</v>
      </c>
      <c r="D91" s="22"/>
      <c r="E91" s="22"/>
      <c r="F91" s="22">
        <f>748.1-27.9+50</f>
        <v>770.2</v>
      </c>
      <c r="G91" s="22"/>
      <c r="H91" s="22"/>
      <c r="I91" s="22"/>
      <c r="J91" s="22"/>
      <c r="K91" s="69">
        <f t="shared" si="0"/>
        <v>770.2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59" ht="25.5">
      <c r="A92" s="60" t="s">
        <v>632</v>
      </c>
      <c r="B92" s="17" t="s">
        <v>633</v>
      </c>
      <c r="C92" s="27">
        <f t="shared" si="5"/>
        <v>54</v>
      </c>
      <c r="D92" s="27">
        <f>34.1+1+4.1</f>
        <v>39.2</v>
      </c>
      <c r="E92" s="27"/>
      <c r="F92" s="27">
        <f>12.9+0.4+1.5</f>
        <v>14.8</v>
      </c>
      <c r="G92" s="22"/>
      <c r="H92" s="22"/>
      <c r="I92" s="22"/>
      <c r="J92" s="22"/>
      <c r="K92" s="69">
        <f t="shared" si="0"/>
        <v>54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1:59" ht="30" customHeight="1">
      <c r="A93" s="60" t="s">
        <v>299</v>
      </c>
      <c r="B93" s="21" t="s">
        <v>4</v>
      </c>
      <c r="C93" s="27">
        <f t="shared" si="5"/>
        <v>4427.5</v>
      </c>
      <c r="D93" s="27">
        <f>1975+8.5+204.4+22.1</f>
        <v>2210</v>
      </c>
      <c r="E93" s="27">
        <v>155.6</v>
      </c>
      <c r="F93" s="27">
        <f>1976.9+3.1+74+7.9</f>
        <v>2061.9</v>
      </c>
      <c r="G93" s="22"/>
      <c r="H93" s="22">
        <v>494.6</v>
      </c>
      <c r="I93" s="22"/>
      <c r="J93" s="22"/>
      <c r="K93" s="69">
        <f t="shared" si="0"/>
        <v>4922.1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1:59" ht="15" customHeight="1" hidden="1">
      <c r="A94" s="58"/>
      <c r="B94" s="53" t="s">
        <v>323</v>
      </c>
      <c r="C94" s="42">
        <f>C95+C96</f>
        <v>0</v>
      </c>
      <c r="D94" s="42">
        <f>D95+D96</f>
        <v>0</v>
      </c>
      <c r="E94" s="42">
        <f>E95+E96</f>
        <v>0</v>
      </c>
      <c r="F94" s="42">
        <f>F95+F96</f>
        <v>0</v>
      </c>
      <c r="G94" s="135">
        <f>G95</f>
        <v>0</v>
      </c>
      <c r="H94" s="135">
        <f>H95</f>
        <v>0</v>
      </c>
      <c r="I94" s="135">
        <f>I95</f>
        <v>0</v>
      </c>
      <c r="J94" s="135">
        <f>J95</f>
        <v>0</v>
      </c>
      <c r="K94" s="83">
        <f>C94+H94</f>
        <v>0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59" ht="12.75" hidden="1">
      <c r="A95" s="60" t="s">
        <v>300</v>
      </c>
      <c r="B95" s="37" t="s">
        <v>301</v>
      </c>
      <c r="C95" s="27">
        <f t="shared" si="5"/>
        <v>0</v>
      </c>
      <c r="D95" s="22"/>
      <c r="E95" s="22"/>
      <c r="F95" s="22"/>
      <c r="G95" s="22"/>
      <c r="H95" s="22"/>
      <c r="I95" s="22"/>
      <c r="J95" s="22"/>
      <c r="K95" s="69">
        <f t="shared" si="0"/>
        <v>0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1:59" ht="12.75" hidden="1">
      <c r="A96" s="134" t="s">
        <v>225</v>
      </c>
      <c r="B96" s="132" t="s">
        <v>224</v>
      </c>
      <c r="C96" s="27">
        <f t="shared" si="5"/>
        <v>0</v>
      </c>
      <c r="D96" s="22"/>
      <c r="E96" s="22"/>
      <c r="F96" s="22"/>
      <c r="G96" s="22"/>
      <c r="H96" s="22"/>
      <c r="I96" s="22"/>
      <c r="J96" s="22"/>
      <c r="K96" s="69">
        <f t="shared" si="0"/>
        <v>0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1:59" ht="25.5">
      <c r="A97" s="60" t="s">
        <v>486</v>
      </c>
      <c r="B97" s="21" t="s">
        <v>488</v>
      </c>
      <c r="C97" s="27">
        <f t="shared" si="5"/>
        <v>850</v>
      </c>
      <c r="D97" s="27"/>
      <c r="E97" s="27"/>
      <c r="F97" s="27">
        <v>850</v>
      </c>
      <c r="G97" s="27"/>
      <c r="H97" s="27"/>
      <c r="I97" s="27"/>
      <c r="J97" s="27"/>
      <c r="K97" s="61">
        <f t="shared" si="0"/>
        <v>850</v>
      </c>
      <c r="L97" s="7"/>
      <c r="M97" s="1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2.75">
      <c r="A98" s="60" t="s">
        <v>487</v>
      </c>
      <c r="B98" s="21" t="s">
        <v>525</v>
      </c>
      <c r="C98" s="27">
        <f t="shared" si="5"/>
        <v>1080.9</v>
      </c>
      <c r="D98" s="27"/>
      <c r="E98" s="27"/>
      <c r="F98" s="27">
        <v>1080.9</v>
      </c>
      <c r="G98" s="27"/>
      <c r="H98" s="27"/>
      <c r="I98" s="27"/>
      <c r="J98" s="27"/>
      <c r="K98" s="61">
        <f t="shared" si="0"/>
        <v>1080.9</v>
      </c>
      <c r="L98" s="7"/>
      <c r="M98" s="18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13.5" customHeight="1" hidden="1">
      <c r="A99" s="66" t="s">
        <v>194</v>
      </c>
      <c r="B99" s="242" t="s">
        <v>195</v>
      </c>
      <c r="C99" s="27"/>
      <c r="D99" s="22"/>
      <c r="E99" s="22"/>
      <c r="F99" s="22"/>
      <c r="G99" s="22"/>
      <c r="H99" s="22">
        <f>H100</f>
        <v>0</v>
      </c>
      <c r="I99" s="22"/>
      <c r="J99" s="22"/>
      <c r="K99" s="69">
        <f t="shared" si="0"/>
        <v>0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59" ht="91.5" customHeight="1" hidden="1">
      <c r="A100" s="240"/>
      <c r="B100" s="37" t="s">
        <v>244</v>
      </c>
      <c r="C100" s="27">
        <f>D100+E100+F100</f>
        <v>0</v>
      </c>
      <c r="D100" s="27"/>
      <c r="E100" s="27"/>
      <c r="F100" s="27"/>
      <c r="G100" s="27"/>
      <c r="H100" s="27"/>
      <c r="I100" s="27"/>
      <c r="J100" s="27"/>
      <c r="K100" s="69">
        <f>C100+H100</f>
        <v>0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1:11" ht="12.75">
      <c r="A101" s="58"/>
      <c r="B101" s="53" t="s">
        <v>276</v>
      </c>
      <c r="C101" s="42">
        <f>D101+E101+F101+G101</f>
        <v>18266.8</v>
      </c>
      <c r="D101" s="42">
        <f>D102+D103+D105+D106+D107+D108+D109+D112+D110</f>
        <v>1550.2999999999997</v>
      </c>
      <c r="E101" s="42">
        <f>E102+E103+E105+E106+E107+E108+E109+E112+E110</f>
        <v>327.29999999999995</v>
      </c>
      <c r="F101" s="42">
        <f>F102+F103+F105+F106+F107+F108+F109+F112+F110+F111</f>
        <v>14224.9</v>
      </c>
      <c r="G101" s="42">
        <f>G102+G103+G105+G106+G107+G108+G109+G112+G110</f>
        <v>2164.3</v>
      </c>
      <c r="H101" s="42">
        <f>H102+H103+H105+H106+H107+H108+H109+H112+H110</f>
        <v>0</v>
      </c>
      <c r="I101" s="42">
        <f>I102+I103+I105+I106+I107+I108+I109+I112+I110</f>
        <v>0</v>
      </c>
      <c r="J101" s="24"/>
      <c r="K101" s="83">
        <f>C101+H101</f>
        <v>18266.8</v>
      </c>
    </row>
    <row r="102" spans="1:59" ht="18" customHeight="1">
      <c r="A102" s="60" t="s">
        <v>617</v>
      </c>
      <c r="B102" s="17" t="s">
        <v>618</v>
      </c>
      <c r="C102" s="27">
        <f t="shared" si="5"/>
        <v>787.3</v>
      </c>
      <c r="D102" s="27">
        <f>402.3+25.3+47</f>
        <v>474.6</v>
      </c>
      <c r="E102" s="27">
        <v>16.2</v>
      </c>
      <c r="F102" s="27">
        <f>270.3+9.2+17</f>
        <v>296.5</v>
      </c>
      <c r="G102" s="22"/>
      <c r="H102" s="22"/>
      <c r="I102" s="22"/>
      <c r="J102" s="22"/>
      <c r="K102" s="69">
        <f t="shared" si="0"/>
        <v>787.3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1:59" ht="25.5">
      <c r="A103" s="60" t="s">
        <v>619</v>
      </c>
      <c r="B103" s="17" t="s">
        <v>620</v>
      </c>
      <c r="C103" s="27">
        <f>D103+E103+F103+G103</f>
        <v>179</v>
      </c>
      <c r="D103" s="27"/>
      <c r="E103" s="27"/>
      <c r="F103" s="27">
        <f>2548.1-2369.1</f>
        <v>179</v>
      </c>
      <c r="G103" s="22"/>
      <c r="H103" s="22"/>
      <c r="I103" s="22"/>
      <c r="J103" s="22"/>
      <c r="K103" s="69">
        <f>C103+H103</f>
        <v>179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  <row r="104" spans="1:59" ht="25.5" hidden="1">
      <c r="A104" s="60"/>
      <c r="B104" s="17" t="s">
        <v>60</v>
      </c>
      <c r="C104" s="27">
        <f>D104+E104+F104+G104</f>
        <v>0</v>
      </c>
      <c r="D104" s="27"/>
      <c r="E104" s="27"/>
      <c r="F104" s="27"/>
      <c r="G104" s="27"/>
      <c r="H104" s="27"/>
      <c r="I104" s="27"/>
      <c r="J104" s="27"/>
      <c r="K104" s="61">
        <f>C104+H104</f>
        <v>0</v>
      </c>
      <c r="L104" s="7"/>
      <c r="M104" s="18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25.5">
      <c r="A105" s="60" t="s">
        <v>621</v>
      </c>
      <c r="B105" s="17" t="s">
        <v>137</v>
      </c>
      <c r="C105" s="27">
        <f t="shared" si="5"/>
        <v>1337.6000000000001</v>
      </c>
      <c r="D105" s="27"/>
      <c r="E105" s="27"/>
      <c r="F105" s="27">
        <f>800+78+40+358.4+136.2-75</f>
        <v>1337.6000000000001</v>
      </c>
      <c r="G105" s="22"/>
      <c r="H105" s="22"/>
      <c r="I105" s="22"/>
      <c r="J105" s="22"/>
      <c r="K105" s="69">
        <f t="shared" si="0"/>
        <v>1337.6000000000001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1:59" ht="25.5">
      <c r="A106" s="60" t="s">
        <v>622</v>
      </c>
      <c r="B106" s="17" t="s">
        <v>623</v>
      </c>
      <c r="C106" s="27">
        <f t="shared" si="5"/>
        <v>60</v>
      </c>
      <c r="D106" s="27"/>
      <c r="E106" s="27"/>
      <c r="F106" s="27">
        <v>60</v>
      </c>
      <c r="G106" s="22"/>
      <c r="H106" s="22"/>
      <c r="I106" s="22"/>
      <c r="J106" s="22"/>
      <c r="K106" s="69">
        <f t="shared" si="0"/>
        <v>60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1:59" ht="15" customHeight="1">
      <c r="A107" s="60" t="s">
        <v>624</v>
      </c>
      <c r="B107" s="17" t="s">
        <v>625</v>
      </c>
      <c r="C107" s="27">
        <f t="shared" si="5"/>
        <v>1366.1</v>
      </c>
      <c r="D107" s="27">
        <f>369.8+15.8+43.7+50.9</f>
        <v>480.2</v>
      </c>
      <c r="E107" s="27">
        <f>66.8+3.1</f>
        <v>69.89999999999999</v>
      </c>
      <c r="F107" s="27">
        <f>773.5+5.7+15.8+21</f>
        <v>816</v>
      </c>
      <c r="G107" s="22"/>
      <c r="H107" s="22"/>
      <c r="I107" s="22"/>
      <c r="J107" s="22"/>
      <c r="K107" s="69">
        <f t="shared" si="0"/>
        <v>1366.1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59" ht="12.75">
      <c r="A108" s="60" t="s">
        <v>626</v>
      </c>
      <c r="B108" s="17" t="s">
        <v>627</v>
      </c>
      <c r="C108" s="27">
        <f>D108+E108+F108+G108</f>
        <v>1641.3999999999999</v>
      </c>
      <c r="D108" s="27">
        <f>519.4+21.3+54.8</f>
        <v>595.4999999999999</v>
      </c>
      <c r="E108" s="27">
        <v>241.2</v>
      </c>
      <c r="F108" s="27">
        <f>777.2+7.7+19.8</f>
        <v>804.7</v>
      </c>
      <c r="G108" s="22"/>
      <c r="H108" s="22"/>
      <c r="I108" s="22"/>
      <c r="J108" s="22"/>
      <c r="K108" s="69">
        <f t="shared" si="0"/>
        <v>1641.3999999999999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59" ht="25.5">
      <c r="A109" s="60" t="s">
        <v>628</v>
      </c>
      <c r="B109" s="17" t="s">
        <v>629</v>
      </c>
      <c r="C109" s="27">
        <f t="shared" si="5"/>
        <v>162</v>
      </c>
      <c r="D109" s="27"/>
      <c r="E109" s="27"/>
      <c r="F109" s="27">
        <f>60+102</f>
        <v>162</v>
      </c>
      <c r="G109" s="22"/>
      <c r="H109" s="22"/>
      <c r="I109" s="22"/>
      <c r="J109" s="22"/>
      <c r="K109" s="69">
        <f t="shared" si="0"/>
        <v>162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1:59" ht="51">
      <c r="A110" s="60" t="s">
        <v>61</v>
      </c>
      <c r="B110" s="21" t="s">
        <v>63</v>
      </c>
      <c r="C110" s="27">
        <f>D110+E110+F110+G110</f>
        <v>10362.3</v>
      </c>
      <c r="D110" s="27"/>
      <c r="E110" s="27"/>
      <c r="F110" s="27">
        <f>3715.6+4482.4</f>
        <v>8198</v>
      </c>
      <c r="G110" s="27">
        <f>2168.3-20+16</f>
        <v>2164.3</v>
      </c>
      <c r="H110" s="27"/>
      <c r="I110" s="27"/>
      <c r="J110" s="27"/>
      <c r="K110" s="61">
        <f>C110+H110</f>
        <v>10362.3</v>
      </c>
      <c r="L110" s="7"/>
      <c r="M110" s="1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25.5">
      <c r="A111" s="60" t="s">
        <v>639</v>
      </c>
      <c r="B111" s="21" t="s">
        <v>640</v>
      </c>
      <c r="C111" s="27">
        <f>D111+E111+F111</f>
        <v>2369.1</v>
      </c>
      <c r="D111" s="27"/>
      <c r="E111" s="27"/>
      <c r="F111" s="27">
        <v>2369.1</v>
      </c>
      <c r="G111" s="27"/>
      <c r="H111" s="27"/>
      <c r="I111" s="27"/>
      <c r="J111" s="27"/>
      <c r="K111" s="61">
        <f>C111+H111</f>
        <v>2369.1</v>
      </c>
      <c r="L111" s="7"/>
      <c r="M111" s="1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63.75">
      <c r="A112" s="60" t="s">
        <v>212</v>
      </c>
      <c r="B112" s="21" t="s">
        <v>213</v>
      </c>
      <c r="C112" s="27">
        <f t="shared" si="5"/>
        <v>2</v>
      </c>
      <c r="D112" s="22"/>
      <c r="E112" s="22"/>
      <c r="F112" s="22">
        <v>2</v>
      </c>
      <c r="G112" s="22"/>
      <c r="H112" s="22"/>
      <c r="I112" s="22"/>
      <c r="J112" s="22"/>
      <c r="K112" s="69">
        <f t="shared" si="0"/>
        <v>2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1:59" s="18" customFormat="1" ht="12.75" hidden="1">
      <c r="A113" s="58"/>
      <c r="B113" s="53" t="s">
        <v>215</v>
      </c>
      <c r="C113" s="42">
        <f>C114</f>
        <v>0</v>
      </c>
      <c r="D113" s="135">
        <f aca="true" t="shared" si="6" ref="D113:K113">D114</f>
        <v>0</v>
      </c>
      <c r="E113" s="135">
        <f t="shared" si="6"/>
        <v>0</v>
      </c>
      <c r="F113" s="42">
        <f t="shared" si="6"/>
        <v>0</v>
      </c>
      <c r="G113" s="135">
        <f t="shared" si="6"/>
        <v>0</v>
      </c>
      <c r="H113" s="135">
        <f t="shared" si="6"/>
        <v>0</v>
      </c>
      <c r="I113" s="135">
        <f t="shared" si="6"/>
        <v>0</v>
      </c>
      <c r="J113" s="135">
        <f t="shared" si="6"/>
        <v>0</v>
      </c>
      <c r="K113" s="59">
        <f t="shared" si="6"/>
        <v>0</v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</row>
    <row r="114" spans="1:59" ht="12.75" hidden="1">
      <c r="A114" s="60" t="s">
        <v>138</v>
      </c>
      <c r="B114" s="37" t="s">
        <v>139</v>
      </c>
      <c r="C114" s="27">
        <f>D114+E114+F114</f>
        <v>0</v>
      </c>
      <c r="D114" s="22"/>
      <c r="E114" s="22"/>
      <c r="F114" s="22"/>
      <c r="G114" s="136"/>
      <c r="H114" s="143">
        <f>I114</f>
        <v>0</v>
      </c>
      <c r="I114" s="136"/>
      <c r="J114" s="136"/>
      <c r="K114" s="83">
        <f>C114+H114</f>
        <v>0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1:59" s="18" customFormat="1" ht="25.5" hidden="1">
      <c r="A115" s="58"/>
      <c r="B115" s="53" t="s">
        <v>277</v>
      </c>
      <c r="C115" s="42">
        <f>D115+E115+F115+G115</f>
        <v>0</v>
      </c>
      <c r="D115" s="24"/>
      <c r="E115" s="24"/>
      <c r="F115" s="24"/>
      <c r="G115" s="24"/>
      <c r="H115" s="143">
        <f>I115</f>
        <v>0</v>
      </c>
      <c r="I115" s="143">
        <f>I118</f>
        <v>0</v>
      </c>
      <c r="J115" s="24"/>
      <c r="K115" s="83">
        <f>C115+H115</f>
        <v>0</v>
      </c>
      <c r="L115" s="84">
        <f>C115-2000</f>
        <v>-2000</v>
      </c>
      <c r="M115" s="84">
        <f>'№2'!C62</f>
        <v>43646.579000000005</v>
      </c>
      <c r="N115" s="84">
        <f>L115-M115</f>
        <v>-45646.579000000005</v>
      </c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</row>
    <row r="116" spans="1:59" s="18" customFormat="1" ht="38.25" hidden="1">
      <c r="A116" s="60" t="s">
        <v>5</v>
      </c>
      <c r="B116" s="17" t="s">
        <v>6</v>
      </c>
      <c r="C116" s="27">
        <f>D116+E116+F116+G116</f>
        <v>0</v>
      </c>
      <c r="D116" s="22"/>
      <c r="E116" s="22"/>
      <c r="F116" s="22"/>
      <c r="G116" s="24"/>
      <c r="H116" s="24"/>
      <c r="I116" s="24"/>
      <c r="J116" s="24"/>
      <c r="K116" s="69">
        <f t="shared" si="0"/>
        <v>0</v>
      </c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</row>
    <row r="117" spans="1:59" s="18" customFormat="1" ht="12.75" hidden="1">
      <c r="A117" s="60" t="s">
        <v>22</v>
      </c>
      <c r="B117" s="17" t="s">
        <v>141</v>
      </c>
      <c r="C117" s="27">
        <f>D117+E117+F117+G117</f>
        <v>0</v>
      </c>
      <c r="D117" s="22"/>
      <c r="E117" s="22"/>
      <c r="F117" s="22"/>
      <c r="G117" s="24"/>
      <c r="H117" s="22"/>
      <c r="I117" s="22"/>
      <c r="J117" s="24"/>
      <c r="K117" s="69">
        <f t="shared" si="0"/>
        <v>0</v>
      </c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</row>
    <row r="118" spans="1:59" s="18" customFormat="1" ht="12.75" hidden="1">
      <c r="A118" s="60" t="s">
        <v>20</v>
      </c>
      <c r="B118" s="17" t="s">
        <v>21</v>
      </c>
      <c r="C118" s="27">
        <f>D118+E118+F118+G118</f>
        <v>0</v>
      </c>
      <c r="D118" s="22"/>
      <c r="E118" s="22"/>
      <c r="F118" s="22"/>
      <c r="G118" s="24"/>
      <c r="H118" s="22">
        <f>I118</f>
        <v>0</v>
      </c>
      <c r="I118" s="22"/>
      <c r="J118" s="24"/>
      <c r="K118" s="69">
        <f>C118+H118</f>
        <v>0</v>
      </c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</row>
    <row r="119" spans="1:59" s="18" customFormat="1" ht="25.5" hidden="1">
      <c r="A119" s="60" t="s">
        <v>216</v>
      </c>
      <c r="B119" s="19" t="s">
        <v>26</v>
      </c>
      <c r="C119" s="27">
        <f>D119+E119+F119+G119</f>
        <v>0</v>
      </c>
      <c r="D119" s="22"/>
      <c r="E119" s="22"/>
      <c r="F119" s="22"/>
      <c r="G119" s="24"/>
      <c r="H119" s="22"/>
      <c r="I119" s="22"/>
      <c r="J119" s="24"/>
      <c r="K119" s="69">
        <f>C119+H119</f>
        <v>0</v>
      </c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</row>
    <row r="120" spans="1:13" ht="12.75">
      <c r="A120" s="60"/>
      <c r="B120" s="53" t="s">
        <v>482</v>
      </c>
      <c r="C120" s="42">
        <f>C124+C126+C129+C130+C121+C122+C132+C131+C125</f>
        <v>80038.2</v>
      </c>
      <c r="D120" s="42">
        <f>D124+D126+D129+D130+D121+D122+D132+D131+D125</f>
        <v>18055.399999999998</v>
      </c>
      <c r="E120" s="42">
        <f>E124+E126+E129+E130+E121+E122+E132+E131+E125</f>
        <v>2966.9</v>
      </c>
      <c r="F120" s="42">
        <f>F124+F126+F129+F130+F121+F122+F132+F131+F125</f>
        <v>58815.899999999994</v>
      </c>
      <c r="G120" s="42">
        <f>G124+G126+G129+G130+G121+G122+G132+G131</f>
        <v>200</v>
      </c>
      <c r="H120" s="42">
        <f>H124+H126+H129+H130+H121+H122+H132+H131+H123</f>
        <v>1304.6999999999998</v>
      </c>
      <c r="I120" s="42">
        <f>I124+I126+I129+I130+I121+I122+I132+I131</f>
        <v>0</v>
      </c>
      <c r="J120" s="42">
        <f>J124+J126+J129+J130+J121+J122+J132+J131</f>
        <v>0</v>
      </c>
      <c r="K120" s="59">
        <f>K124+K126+K129+K130+K121+K122+K132+K131+K123+K125</f>
        <v>81342.9</v>
      </c>
      <c r="L120" s="38">
        <v>52949.8</v>
      </c>
      <c r="M120" s="38">
        <v>16358.6</v>
      </c>
    </row>
    <row r="121" spans="1:59" ht="12.75">
      <c r="A121" s="60" t="s">
        <v>8</v>
      </c>
      <c r="B121" s="17" t="s">
        <v>9</v>
      </c>
      <c r="C121" s="27">
        <f>D121+E121+F121+G121</f>
        <v>27040.199999999997</v>
      </c>
      <c r="D121" s="27"/>
      <c r="E121" s="27"/>
      <c r="F121" s="27">
        <f>21535.4+2460-2000+1342.6+236.7+2308.3+883.1+74.1</f>
        <v>26840.199999999997</v>
      </c>
      <c r="G121" s="27">
        <v>200</v>
      </c>
      <c r="H121" s="27"/>
      <c r="I121" s="27"/>
      <c r="J121" s="22"/>
      <c r="K121" s="69">
        <f>C121+H121</f>
        <v>27040.199999999997</v>
      </c>
      <c r="L121" s="85">
        <f>L120-F120</f>
        <v>-5866.099999999991</v>
      </c>
      <c r="M121" s="85">
        <f>M120-D120</f>
        <v>-1696.7999999999975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1:59" ht="24.75" customHeight="1">
      <c r="A122" s="60" t="s">
        <v>10</v>
      </c>
      <c r="B122" s="17" t="s">
        <v>180</v>
      </c>
      <c r="C122" s="27">
        <f>D122+E122+F122+G122</f>
        <v>15365</v>
      </c>
      <c r="D122" s="27"/>
      <c r="E122" s="27">
        <v>10</v>
      </c>
      <c r="F122" s="27">
        <f>9436.9+3229.3+1000+459.9-316.7+700+796+123.7-74.1</f>
        <v>15355</v>
      </c>
      <c r="G122" s="27"/>
      <c r="H122" s="27"/>
      <c r="I122" s="27"/>
      <c r="J122" s="22"/>
      <c r="K122" s="69">
        <f t="shared" si="0"/>
        <v>15365</v>
      </c>
      <c r="L122" s="85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1:59" ht="12.75">
      <c r="A123" s="66" t="s">
        <v>526</v>
      </c>
      <c r="B123" s="17" t="s">
        <v>527</v>
      </c>
      <c r="C123" s="27"/>
      <c r="D123" s="27"/>
      <c r="E123" s="27"/>
      <c r="F123" s="27"/>
      <c r="G123" s="27"/>
      <c r="H123" s="27">
        <v>40</v>
      </c>
      <c r="I123" s="27"/>
      <c r="J123" s="27"/>
      <c r="K123" s="61">
        <f t="shared" si="0"/>
        <v>40</v>
      </c>
      <c r="L123" s="7"/>
      <c r="M123" s="1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51">
      <c r="A124" s="60" t="s">
        <v>1</v>
      </c>
      <c r="B124" s="37" t="s">
        <v>2</v>
      </c>
      <c r="C124" s="27">
        <f>D124+E124+F124</f>
        <v>12438.199999999999</v>
      </c>
      <c r="D124" s="22">
        <v>4584.9</v>
      </c>
      <c r="E124" s="22">
        <v>1130.4</v>
      </c>
      <c r="F124" s="22">
        <v>6722.9</v>
      </c>
      <c r="G124" s="22"/>
      <c r="H124" s="22">
        <f>627.4-5</f>
        <v>622.4</v>
      </c>
      <c r="I124" s="22"/>
      <c r="J124" s="22"/>
      <c r="K124" s="69">
        <f t="shared" si="0"/>
        <v>13060.599999999999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59" ht="12.75">
      <c r="A125" s="60" t="s">
        <v>138</v>
      </c>
      <c r="B125" s="37" t="s">
        <v>0</v>
      </c>
      <c r="C125" s="27">
        <f>D125+E125+F125</f>
        <v>893.1</v>
      </c>
      <c r="D125" s="22">
        <v>227.6</v>
      </c>
      <c r="E125" s="22"/>
      <c r="F125" s="22">
        <f>3215.5-2550</f>
        <v>665.5</v>
      </c>
      <c r="G125" s="22"/>
      <c r="H125" s="22"/>
      <c r="I125" s="22"/>
      <c r="J125" s="22"/>
      <c r="K125" s="69">
        <f t="shared" si="0"/>
        <v>893.1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ht="45.75" customHeight="1">
      <c r="A126" s="66" t="s">
        <v>280</v>
      </c>
      <c r="B126" s="86" t="s">
        <v>142</v>
      </c>
      <c r="C126" s="27">
        <f>D126+E126+F126</f>
        <v>23508.6</v>
      </c>
      <c r="D126" s="22">
        <f>11231.7+749.3+1261.9</f>
        <v>13242.9</v>
      </c>
      <c r="E126" s="22">
        <v>1826.5</v>
      </c>
      <c r="F126" s="22">
        <f>7078.6+100+271.2+67.6+456.8+465</f>
        <v>8439.2</v>
      </c>
      <c r="G126" s="22"/>
      <c r="H126" s="22">
        <v>642.3</v>
      </c>
      <c r="I126" s="22"/>
      <c r="J126" s="22"/>
      <c r="K126" s="69">
        <f t="shared" si="0"/>
        <v>24150.899999999998</v>
      </c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59" ht="12.75">
      <c r="A127" s="66"/>
      <c r="B127" s="86" t="s">
        <v>143</v>
      </c>
      <c r="C127" s="27">
        <f aca="true" t="shared" si="7" ref="C127:C132">D127+E127+F127</f>
        <v>42.3</v>
      </c>
      <c r="D127" s="22"/>
      <c r="E127" s="22"/>
      <c r="F127" s="22">
        <f>40.9+1.4</f>
        <v>42.3</v>
      </c>
      <c r="G127" s="22"/>
      <c r="H127" s="22"/>
      <c r="I127" s="22"/>
      <c r="J127" s="22"/>
      <c r="K127" s="69">
        <f t="shared" si="0"/>
        <v>42.3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59" ht="67.5" customHeight="1">
      <c r="A128" s="66" t="s">
        <v>214</v>
      </c>
      <c r="B128" s="21" t="s">
        <v>213</v>
      </c>
      <c r="C128" s="27">
        <f t="shared" si="7"/>
        <v>415.5</v>
      </c>
      <c r="D128" s="22"/>
      <c r="E128" s="22"/>
      <c r="F128" s="22">
        <v>415.5</v>
      </c>
      <c r="G128" s="22"/>
      <c r="H128" s="22"/>
      <c r="I128" s="22"/>
      <c r="J128" s="22"/>
      <c r="K128" s="69">
        <f t="shared" si="0"/>
        <v>415.5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1:59" ht="25.5">
      <c r="A129" s="60" t="s">
        <v>204</v>
      </c>
      <c r="B129" s="37" t="s">
        <v>407</v>
      </c>
      <c r="C129" s="27">
        <f t="shared" si="7"/>
        <v>793.1</v>
      </c>
      <c r="D129" s="22"/>
      <c r="E129" s="22"/>
      <c r="F129" s="22">
        <f>560.3+100+18.2+80+34.6</f>
        <v>793.1</v>
      </c>
      <c r="G129" s="22"/>
      <c r="H129" s="22"/>
      <c r="I129" s="22"/>
      <c r="J129" s="22"/>
      <c r="K129" s="69">
        <f t="shared" si="0"/>
        <v>793.1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59" ht="14.25" customHeight="1">
      <c r="A130" s="60" t="s">
        <v>205</v>
      </c>
      <c r="B130" s="37" t="s">
        <v>121</v>
      </c>
      <c r="C130" s="27">
        <f t="shared" si="7"/>
        <v>0</v>
      </c>
      <c r="D130" s="22"/>
      <c r="E130" s="22"/>
      <c r="F130" s="22">
        <f>82.8-82.8</f>
        <v>0</v>
      </c>
      <c r="G130" s="22"/>
      <c r="H130" s="22"/>
      <c r="I130" s="22"/>
      <c r="J130" s="22"/>
      <c r="K130" s="69">
        <f>C130+H130</f>
        <v>0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59" ht="12.75" hidden="1">
      <c r="A131" s="66" t="s">
        <v>226</v>
      </c>
      <c r="B131" s="21" t="s">
        <v>227</v>
      </c>
      <c r="C131" s="27">
        <f t="shared" si="7"/>
        <v>0</v>
      </c>
      <c r="D131" s="22"/>
      <c r="E131" s="22"/>
      <c r="F131" s="22"/>
      <c r="G131" s="22"/>
      <c r="H131" s="22"/>
      <c r="I131" s="22"/>
      <c r="J131" s="22"/>
      <c r="K131" s="69">
        <f>C131+H131</f>
        <v>0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59" ht="25.5" hidden="1">
      <c r="A132" s="60" t="s">
        <v>148</v>
      </c>
      <c r="B132" s="21" t="s">
        <v>313</v>
      </c>
      <c r="C132" s="27">
        <f t="shared" si="7"/>
        <v>0</v>
      </c>
      <c r="D132" s="22"/>
      <c r="E132" s="22"/>
      <c r="F132" s="22"/>
      <c r="G132" s="22"/>
      <c r="H132" s="22"/>
      <c r="I132" s="22"/>
      <c r="J132" s="22"/>
      <c r="K132" s="69">
        <f>C132+H132</f>
        <v>0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s="18" customFormat="1" ht="25.5">
      <c r="A133" s="58"/>
      <c r="B133" s="53" t="s">
        <v>590</v>
      </c>
      <c r="C133" s="42">
        <f>C134+C135+C137+C136+C138</f>
        <v>6644.4</v>
      </c>
      <c r="D133" s="42">
        <f>D134+D135+D137++D136</f>
        <v>0</v>
      </c>
      <c r="E133" s="42">
        <f>E134+E135+E137++E136</f>
        <v>0</v>
      </c>
      <c r="F133" s="42">
        <f>F134+F135+F137++F136+F138</f>
        <v>4274.4</v>
      </c>
      <c r="G133" s="24">
        <f>G135</f>
        <v>2370</v>
      </c>
      <c r="H133" s="24"/>
      <c r="I133" s="24"/>
      <c r="J133" s="24"/>
      <c r="K133" s="83">
        <f t="shared" si="0"/>
        <v>6644.4</v>
      </c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</row>
    <row r="134" spans="1:59" ht="12.75">
      <c r="A134" s="66" t="s">
        <v>637</v>
      </c>
      <c r="B134" s="246" t="s">
        <v>638</v>
      </c>
      <c r="C134" s="27">
        <f>D134+E134+F134</f>
        <v>1470</v>
      </c>
      <c r="D134" s="87"/>
      <c r="E134" s="87"/>
      <c r="F134" s="88">
        <f>1200+270</f>
        <v>1470</v>
      </c>
      <c r="G134" s="22"/>
      <c r="H134" s="22"/>
      <c r="I134" s="22"/>
      <c r="J134" s="22"/>
      <c r="K134" s="69">
        <f t="shared" si="0"/>
        <v>1470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59" ht="12.75">
      <c r="A135" s="60" t="s">
        <v>144</v>
      </c>
      <c r="B135" s="86" t="s">
        <v>305</v>
      </c>
      <c r="C135" s="27">
        <f>D135+E135+F135+G135</f>
        <v>4110</v>
      </c>
      <c r="D135" s="22"/>
      <c r="E135" s="22"/>
      <c r="F135" s="22">
        <v>1740</v>
      </c>
      <c r="G135" s="27">
        <f>2339+46-15</f>
        <v>2370</v>
      </c>
      <c r="H135" s="22"/>
      <c r="I135" s="22"/>
      <c r="J135" s="22"/>
      <c r="K135" s="69">
        <f t="shared" si="0"/>
        <v>4110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59" ht="13.5" customHeight="1">
      <c r="A136" s="66" t="s">
        <v>205</v>
      </c>
      <c r="B136" s="17" t="s">
        <v>306</v>
      </c>
      <c r="C136" s="27">
        <f>D136+E136+F136</f>
        <v>1064.4</v>
      </c>
      <c r="D136" s="22"/>
      <c r="E136" s="22"/>
      <c r="F136" s="22">
        <f>450+570+44.4</f>
        <v>1064.4</v>
      </c>
      <c r="G136" s="22"/>
      <c r="H136" s="22"/>
      <c r="I136" s="22"/>
      <c r="J136" s="22"/>
      <c r="K136" s="69">
        <f t="shared" si="0"/>
        <v>1064.4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59" ht="12.75" customHeight="1" hidden="1">
      <c r="A137" s="60" t="s">
        <v>205</v>
      </c>
      <c r="B137" s="37" t="s">
        <v>408</v>
      </c>
      <c r="C137" s="27">
        <f>D137+E137+F137</f>
        <v>0</v>
      </c>
      <c r="D137" s="22"/>
      <c r="E137" s="22"/>
      <c r="F137" s="22"/>
      <c r="G137" s="22"/>
      <c r="H137" s="22"/>
      <c r="I137" s="22"/>
      <c r="J137" s="22"/>
      <c r="K137" s="69">
        <f t="shared" si="0"/>
        <v>0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12" s="18" customFormat="1" ht="38.25" customHeight="1" hidden="1">
      <c r="A138" s="123" t="s">
        <v>40</v>
      </c>
      <c r="B138" s="67" t="s">
        <v>175</v>
      </c>
      <c r="C138" s="27">
        <f>D138+E138+F138</f>
        <v>0</v>
      </c>
      <c r="D138" s="27"/>
      <c r="E138" s="27"/>
      <c r="F138" s="27">
        <f>F139</f>
        <v>0</v>
      </c>
      <c r="G138" s="27">
        <f>SUM(G140:G152)</f>
        <v>0</v>
      </c>
      <c r="H138" s="27"/>
      <c r="I138" s="27"/>
      <c r="J138" s="27"/>
      <c r="K138" s="69">
        <f>C138+H138</f>
        <v>0</v>
      </c>
      <c r="L138" s="20"/>
    </row>
    <row r="139" spans="1:59" ht="38.25" hidden="1">
      <c r="A139" s="124"/>
      <c r="B139" s="67" t="s">
        <v>528</v>
      </c>
      <c r="C139" s="27">
        <f>D139+E139+F139</f>
        <v>0</v>
      </c>
      <c r="D139" s="144"/>
      <c r="E139" s="144"/>
      <c r="F139" s="27"/>
      <c r="G139" s="144"/>
      <c r="H139" s="27"/>
      <c r="I139" s="27"/>
      <c r="J139" s="27"/>
      <c r="K139" s="61">
        <f>C139+H139</f>
        <v>0</v>
      </c>
      <c r="L139" s="260"/>
      <c r="M139" s="22"/>
      <c r="N139" s="22"/>
      <c r="O139" s="2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18" customFormat="1" ht="25.5">
      <c r="A140" s="65"/>
      <c r="B140" s="53" t="s">
        <v>278</v>
      </c>
      <c r="C140" s="42">
        <f>C141+C142+C144+C143</f>
        <v>44579.200000000004</v>
      </c>
      <c r="D140" s="42">
        <f aca="true" t="shared" si="8" ref="D140:K140">D141+D142+D144+D143</f>
        <v>8969.900000000001</v>
      </c>
      <c r="E140" s="42">
        <f t="shared" si="8"/>
        <v>1025.7</v>
      </c>
      <c r="F140" s="42">
        <f t="shared" si="8"/>
        <v>34583.600000000006</v>
      </c>
      <c r="G140" s="42">
        <f t="shared" si="8"/>
        <v>0</v>
      </c>
      <c r="H140" s="42">
        <f t="shared" si="8"/>
        <v>15</v>
      </c>
      <c r="I140" s="42">
        <f t="shared" si="8"/>
        <v>0</v>
      </c>
      <c r="J140" s="42">
        <f t="shared" si="8"/>
        <v>0</v>
      </c>
      <c r="K140" s="59">
        <f t="shared" si="8"/>
        <v>44594.200000000004</v>
      </c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</row>
    <row r="141" spans="1:59" ht="42.75" customHeight="1">
      <c r="A141" s="60" t="s">
        <v>202</v>
      </c>
      <c r="B141" s="37" t="s">
        <v>333</v>
      </c>
      <c r="C141" s="27">
        <f>D141+E141+F141+G141</f>
        <v>35057.4</v>
      </c>
      <c r="D141" s="22">
        <f>5102.8+158.5+592.4</f>
        <v>5853.7</v>
      </c>
      <c r="E141" s="22">
        <v>243.7</v>
      </c>
      <c r="F141" s="22">
        <f>26033.2+850+57.4+332.7+214.4+439.2+903.6+129.5</f>
        <v>28960.000000000004</v>
      </c>
      <c r="G141" s="22"/>
      <c r="H141" s="22"/>
      <c r="I141" s="22"/>
      <c r="J141" s="22"/>
      <c r="K141" s="69">
        <f>C141+H141</f>
        <v>35057.4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1:59" ht="18.75" customHeight="1">
      <c r="A142" s="60" t="s">
        <v>206</v>
      </c>
      <c r="B142" s="86" t="s">
        <v>145</v>
      </c>
      <c r="C142" s="27">
        <f>D142+E142+F142</f>
        <v>8436.599999999999</v>
      </c>
      <c r="D142" s="22">
        <f>2248+128.1+224.4</f>
        <v>2600.5</v>
      </c>
      <c r="E142" s="22">
        <v>710</v>
      </c>
      <c r="F142" s="22">
        <f>4991.2+46.4+7.3+81.2</f>
        <v>5126.099999999999</v>
      </c>
      <c r="G142" s="22"/>
      <c r="H142" s="22"/>
      <c r="I142" s="22"/>
      <c r="J142" s="22"/>
      <c r="K142" s="69">
        <f t="shared" si="0"/>
        <v>8436.599999999999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1:59" ht="63.75">
      <c r="A143" s="66" t="s">
        <v>214</v>
      </c>
      <c r="B143" s="21" t="s">
        <v>213</v>
      </c>
      <c r="C143" s="27">
        <f>D143+E143+F143</f>
        <v>14.8</v>
      </c>
      <c r="D143" s="22"/>
      <c r="E143" s="22"/>
      <c r="F143" s="22">
        <v>14.8</v>
      </c>
      <c r="G143" s="22"/>
      <c r="H143" s="22"/>
      <c r="I143" s="22"/>
      <c r="J143" s="22"/>
      <c r="K143" s="69">
        <f t="shared" si="0"/>
        <v>14.8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1:59" ht="28.5" customHeight="1">
      <c r="A144" s="60" t="s">
        <v>146</v>
      </c>
      <c r="B144" s="67" t="s">
        <v>178</v>
      </c>
      <c r="C144" s="27">
        <f>D144+E144+F144</f>
        <v>1070.4</v>
      </c>
      <c r="D144" s="22">
        <f>445.2+28.3+42.2</f>
        <v>515.7</v>
      </c>
      <c r="E144" s="22">
        <v>72</v>
      </c>
      <c r="F144" s="22">
        <f>457.2+10.2+15.3</f>
        <v>482.7</v>
      </c>
      <c r="G144" s="22"/>
      <c r="H144" s="22">
        <v>15</v>
      </c>
      <c r="I144" s="22"/>
      <c r="J144" s="22"/>
      <c r="K144" s="69">
        <f t="shared" si="0"/>
        <v>1085.4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1:59" ht="25.5" customHeight="1">
      <c r="A145" s="60"/>
      <c r="B145" s="89" t="s">
        <v>324</v>
      </c>
      <c r="C145" s="42">
        <f>C149+C151+C153+C154+C156+C160+C155+C157+C162+C146+C148+C147</f>
        <v>49761.9</v>
      </c>
      <c r="D145" s="22"/>
      <c r="E145" s="22"/>
      <c r="F145" s="24">
        <f>F149+F160+F155+F157+F162+F146+F156+F148+F147</f>
        <v>49761.9</v>
      </c>
      <c r="G145" s="22"/>
      <c r="H145" s="24">
        <f>H149+H151+H153+H154+H156+H160+H152+H155+H159+H161+H146+H158+H147+H148</f>
        <v>253973</v>
      </c>
      <c r="I145" s="24">
        <f>I149+I151+I153+I154+I156+I160+I152+I155+I146+I158+I147+I148</f>
        <v>216033</v>
      </c>
      <c r="J145" s="24">
        <f>J149+J151+J153+J154+J156+J160+J152+J155</f>
        <v>0</v>
      </c>
      <c r="K145" s="83">
        <f>K149+K151+K153+K154+K156+K160+K152+K155+K159+K161+K162+K146+K158+K148+K147</f>
        <v>303734.9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1:12" s="18" customFormat="1" ht="13.5" customHeight="1">
      <c r="A146" s="60" t="s">
        <v>58</v>
      </c>
      <c r="B146" s="17" t="s">
        <v>59</v>
      </c>
      <c r="C146" s="27">
        <f>F146</f>
        <v>16151.3</v>
      </c>
      <c r="D146" s="27"/>
      <c r="E146" s="27"/>
      <c r="F146" s="27">
        <v>16151.3</v>
      </c>
      <c r="G146" s="42"/>
      <c r="H146" s="27">
        <f>I146</f>
        <v>42229.7</v>
      </c>
      <c r="I146" s="27">
        <f>23261.6+18968.1</f>
        <v>42229.7</v>
      </c>
      <c r="J146" s="42"/>
      <c r="K146" s="61">
        <f>C146+H146</f>
        <v>58381</v>
      </c>
      <c r="L146" s="20"/>
    </row>
    <row r="147" spans="1:12" s="18" customFormat="1" ht="13.5" customHeight="1">
      <c r="A147" s="60" t="s">
        <v>37</v>
      </c>
      <c r="B147" s="17" t="s">
        <v>39</v>
      </c>
      <c r="C147" s="27">
        <f>F147</f>
        <v>0</v>
      </c>
      <c r="D147" s="27"/>
      <c r="E147" s="27"/>
      <c r="F147" s="27"/>
      <c r="G147" s="42"/>
      <c r="H147" s="27">
        <f>I147</f>
        <v>14055.5</v>
      </c>
      <c r="I147" s="27">
        <v>14055.5</v>
      </c>
      <c r="J147" s="42"/>
      <c r="K147" s="61">
        <f>C147+H147</f>
        <v>14055.5</v>
      </c>
      <c r="L147" s="20"/>
    </row>
    <row r="148" spans="1:12" s="18" customFormat="1" ht="12.75">
      <c r="A148" s="60" t="s">
        <v>8</v>
      </c>
      <c r="B148" s="17" t="s">
        <v>9</v>
      </c>
      <c r="C148" s="27">
        <f>D148+E148+F148</f>
        <v>2000</v>
      </c>
      <c r="D148" s="27"/>
      <c r="E148" s="27"/>
      <c r="F148" s="27">
        <v>2000</v>
      </c>
      <c r="G148" s="42"/>
      <c r="H148" s="27"/>
      <c r="I148" s="27"/>
      <c r="J148" s="42"/>
      <c r="K148" s="61">
        <f>C148+H148</f>
        <v>2000</v>
      </c>
      <c r="L148" s="20"/>
    </row>
    <row r="149" spans="1:59" ht="12.75">
      <c r="A149" s="60" t="s">
        <v>140</v>
      </c>
      <c r="B149" s="17" t="s">
        <v>349</v>
      </c>
      <c r="C149" s="27">
        <f>D149+E149+F149</f>
        <v>0</v>
      </c>
      <c r="D149" s="136"/>
      <c r="E149" s="136"/>
      <c r="F149" s="136"/>
      <c r="G149" s="22"/>
      <c r="H149" s="22">
        <f aca="true" t="shared" si="9" ref="H149:H160">I149</f>
        <v>61994</v>
      </c>
      <c r="I149" s="22">
        <f>3800+6400-5400+14000+13720+2000+5000-5000+2230+1600+74-5000+26668+1902</f>
        <v>61994</v>
      </c>
      <c r="J149" s="22"/>
      <c r="K149" s="69">
        <f aca="true" t="shared" si="10" ref="K149:K160">H149+C149</f>
        <v>61994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1:59" ht="38.25">
      <c r="A150" s="60"/>
      <c r="B150" s="183" t="s">
        <v>38</v>
      </c>
      <c r="C150" s="27">
        <f>D150+E150+F150</f>
        <v>0</v>
      </c>
      <c r="D150" s="136"/>
      <c r="E150" s="136"/>
      <c r="F150" s="136"/>
      <c r="G150" s="22"/>
      <c r="H150" s="22">
        <f t="shared" si="9"/>
        <v>21376.4</v>
      </c>
      <c r="I150" s="22">
        <v>21376.4</v>
      </c>
      <c r="J150" s="22"/>
      <c r="K150" s="69">
        <f>H150+C150</f>
        <v>21376.4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1:59" ht="107.25" customHeight="1">
      <c r="A151" s="60" t="s">
        <v>13</v>
      </c>
      <c r="B151" s="67" t="s">
        <v>630</v>
      </c>
      <c r="C151" s="27">
        <f>D151+E151+F151</f>
        <v>0</v>
      </c>
      <c r="D151" s="22"/>
      <c r="E151" s="22"/>
      <c r="F151" s="22"/>
      <c r="G151" s="22"/>
      <c r="H151" s="22">
        <f t="shared" si="9"/>
        <v>5658.5</v>
      </c>
      <c r="I151" s="22">
        <v>5658.5</v>
      </c>
      <c r="J151" s="22"/>
      <c r="K151" s="69">
        <f t="shared" si="10"/>
        <v>5658.5</v>
      </c>
      <c r="L151" s="28"/>
      <c r="M151" s="28"/>
      <c r="N151" s="85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1:59" ht="25.5">
      <c r="A152" s="60" t="s">
        <v>217</v>
      </c>
      <c r="B152" s="67" t="s">
        <v>223</v>
      </c>
      <c r="C152" s="27">
        <f aca="true" t="shared" si="11" ref="C152:C160">D152+E152+F152</f>
        <v>0</v>
      </c>
      <c r="D152" s="22"/>
      <c r="E152" s="22"/>
      <c r="F152" s="22"/>
      <c r="G152" s="22"/>
      <c r="H152" s="22">
        <f t="shared" si="9"/>
        <v>9959.1</v>
      </c>
      <c r="I152" s="22">
        <v>9959.1</v>
      </c>
      <c r="J152" s="22"/>
      <c r="K152" s="69">
        <f t="shared" si="10"/>
        <v>9959.1</v>
      </c>
      <c r="L152" s="28"/>
      <c r="M152" s="28"/>
      <c r="N152" s="85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1:59" ht="25.5" hidden="1">
      <c r="A153" s="60" t="s">
        <v>14</v>
      </c>
      <c r="B153" s="67" t="s">
        <v>15</v>
      </c>
      <c r="C153" s="27">
        <f t="shared" si="11"/>
        <v>0</v>
      </c>
      <c r="D153" s="22"/>
      <c r="E153" s="22"/>
      <c r="F153" s="22"/>
      <c r="G153" s="22"/>
      <c r="H153" s="22">
        <f t="shared" si="9"/>
        <v>0</v>
      </c>
      <c r="I153" s="22"/>
      <c r="J153" s="22"/>
      <c r="K153" s="69">
        <f t="shared" si="10"/>
        <v>0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1:59" ht="12.75" hidden="1">
      <c r="A154" s="60" t="s">
        <v>18</v>
      </c>
      <c r="B154" s="67" t="s">
        <v>19</v>
      </c>
      <c r="C154" s="27">
        <f t="shared" si="11"/>
        <v>0</v>
      </c>
      <c r="D154" s="22"/>
      <c r="E154" s="22"/>
      <c r="F154" s="22"/>
      <c r="G154" s="22"/>
      <c r="H154" s="22">
        <f t="shared" si="9"/>
        <v>0</v>
      </c>
      <c r="I154" s="22"/>
      <c r="J154" s="22"/>
      <c r="K154" s="69">
        <f t="shared" si="10"/>
        <v>0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1:59" ht="42.75" customHeight="1">
      <c r="A155" s="60" t="s">
        <v>218</v>
      </c>
      <c r="B155" s="67" t="s">
        <v>222</v>
      </c>
      <c r="C155" s="27">
        <f t="shared" si="11"/>
        <v>603.2</v>
      </c>
      <c r="D155" s="22"/>
      <c r="E155" s="22"/>
      <c r="F155" s="22">
        <v>603.2</v>
      </c>
      <c r="G155" s="22"/>
      <c r="H155" s="22">
        <f t="shared" si="9"/>
        <v>0</v>
      </c>
      <c r="I155" s="22"/>
      <c r="J155" s="22"/>
      <c r="K155" s="69">
        <f t="shared" si="10"/>
        <v>603.2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1:59" ht="12.75">
      <c r="A156" s="66" t="s">
        <v>20</v>
      </c>
      <c r="B156" s="17" t="s">
        <v>21</v>
      </c>
      <c r="C156" s="27">
        <f t="shared" si="11"/>
        <v>31007.4</v>
      </c>
      <c r="D156" s="22"/>
      <c r="E156" s="22"/>
      <c r="F156" s="22">
        <v>31007.4</v>
      </c>
      <c r="G156" s="22"/>
      <c r="H156" s="22">
        <f t="shared" si="9"/>
        <v>27484</v>
      </c>
      <c r="I156" s="22">
        <v>27484</v>
      </c>
      <c r="J156" s="22"/>
      <c r="K156" s="69">
        <f t="shared" si="10"/>
        <v>58491.4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1:59" ht="25.5" hidden="1">
      <c r="A157" s="60" t="s">
        <v>216</v>
      </c>
      <c r="B157" s="19" t="s">
        <v>26</v>
      </c>
      <c r="C157" s="27">
        <f t="shared" si="11"/>
        <v>0</v>
      </c>
      <c r="D157" s="22"/>
      <c r="E157" s="22"/>
      <c r="F157" s="22"/>
      <c r="G157" s="22"/>
      <c r="H157" s="22"/>
      <c r="I157" s="22"/>
      <c r="J157" s="22"/>
      <c r="K157" s="69">
        <f t="shared" si="10"/>
        <v>0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1:59" ht="12.75">
      <c r="A158" s="66" t="s">
        <v>226</v>
      </c>
      <c r="B158" s="17" t="s">
        <v>227</v>
      </c>
      <c r="C158" s="27"/>
      <c r="D158" s="144"/>
      <c r="E158" s="144"/>
      <c r="F158" s="27"/>
      <c r="G158" s="144"/>
      <c r="H158" s="27">
        <v>54652.2</v>
      </c>
      <c r="I158" s="27">
        <f>H158</f>
        <v>54652.2</v>
      </c>
      <c r="J158" s="27"/>
      <c r="K158" s="61">
        <f>C158+H158</f>
        <v>54652.2</v>
      </c>
      <c r="L158" s="7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ht="38.25">
      <c r="A159" s="60" t="s">
        <v>129</v>
      </c>
      <c r="B159" s="21" t="s">
        <v>317</v>
      </c>
      <c r="C159" s="27"/>
      <c r="D159" s="22"/>
      <c r="E159" s="22"/>
      <c r="F159" s="22"/>
      <c r="G159" s="22"/>
      <c r="H159" s="22">
        <f>3000+34940</f>
        <v>37940</v>
      </c>
      <c r="I159" s="22"/>
      <c r="J159" s="22"/>
      <c r="K159" s="69">
        <f t="shared" si="10"/>
        <v>37940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1:59" ht="25.5" hidden="1">
      <c r="A160" s="66" t="s">
        <v>32</v>
      </c>
      <c r="B160" s="17" t="s">
        <v>33</v>
      </c>
      <c r="C160" s="27">
        <f t="shared" si="11"/>
        <v>0</v>
      </c>
      <c r="D160" s="22"/>
      <c r="E160" s="22"/>
      <c r="F160" s="22"/>
      <c r="G160" s="22"/>
      <c r="H160" s="22">
        <f t="shared" si="9"/>
        <v>0</v>
      </c>
      <c r="I160" s="22"/>
      <c r="J160" s="22"/>
      <c r="K160" s="69">
        <f t="shared" si="10"/>
        <v>0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1:12" s="18" customFormat="1" ht="76.5" customHeight="1" hidden="1">
      <c r="A161" s="123" t="s">
        <v>365</v>
      </c>
      <c r="B161" s="206" t="s">
        <v>125</v>
      </c>
      <c r="C161" s="122"/>
      <c r="D161" s="27"/>
      <c r="E161" s="27"/>
      <c r="F161" s="27"/>
      <c r="G161" s="27"/>
      <c r="H161" s="44"/>
      <c r="I161" s="44"/>
      <c r="J161" s="27"/>
      <c r="K161" s="125">
        <f>C161+H161</f>
        <v>0</v>
      </c>
      <c r="L161" s="20"/>
    </row>
    <row r="162" spans="1:12" s="18" customFormat="1" ht="89.25" customHeight="1" hidden="1">
      <c r="A162" s="66" t="s">
        <v>366</v>
      </c>
      <c r="B162" s="183" t="s">
        <v>347</v>
      </c>
      <c r="C162" s="122">
        <f>D162+E162+F162</f>
        <v>0</v>
      </c>
      <c r="D162" s="27"/>
      <c r="E162" s="27"/>
      <c r="F162" s="27"/>
      <c r="G162" s="27"/>
      <c r="H162" s="27"/>
      <c r="I162" s="27"/>
      <c r="J162" s="27"/>
      <c r="K162" s="125">
        <f>C162+H162</f>
        <v>0</v>
      </c>
      <c r="L162" s="20"/>
    </row>
    <row r="163" spans="1:59" ht="26.25" customHeight="1">
      <c r="A163" s="60"/>
      <c r="B163" s="89" t="s">
        <v>341</v>
      </c>
      <c r="C163" s="42">
        <f>D163+E163+F163+G163</f>
        <v>29676.889</v>
      </c>
      <c r="D163" s="24"/>
      <c r="E163" s="24"/>
      <c r="F163" s="24">
        <f>11743+12000+514-290+290-4000+9117.5+500-8400-300</f>
        <v>21174.5</v>
      </c>
      <c r="G163" s="24">
        <f>14493.95-13285.95+G170+6299.879-19.6-377.5</f>
        <v>8502.389</v>
      </c>
      <c r="H163" s="24">
        <f>H169+H170+H167</f>
        <v>53438.6</v>
      </c>
      <c r="I163" s="24">
        <f>H163</f>
        <v>53438.6</v>
      </c>
      <c r="J163" s="24">
        <f>J169</f>
        <v>0</v>
      </c>
      <c r="K163" s="83">
        <f>C163+H163</f>
        <v>83115.489</v>
      </c>
      <c r="L163" s="28">
        <v>16357.141</v>
      </c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1:59" ht="12.75" customHeight="1" hidden="1">
      <c r="A164" s="60" t="s">
        <v>140</v>
      </c>
      <c r="B164" s="17" t="s">
        <v>309</v>
      </c>
      <c r="C164" s="27">
        <f>D164+E164+F164</f>
        <v>0</v>
      </c>
      <c r="D164" s="22"/>
      <c r="E164" s="22"/>
      <c r="F164" s="22"/>
      <c r="G164" s="22"/>
      <c r="H164" s="22">
        <f>100-100</f>
        <v>0</v>
      </c>
      <c r="I164" s="22">
        <f>H164</f>
        <v>0</v>
      </c>
      <c r="J164" s="22"/>
      <c r="K164" s="69">
        <f>C164+H164</f>
        <v>0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59" ht="41.25" customHeight="1">
      <c r="A165" s="66" t="s">
        <v>522</v>
      </c>
      <c r="B165" s="67" t="s">
        <v>523</v>
      </c>
      <c r="C165" s="27">
        <f>D165+E165+F165+G165</f>
        <v>931.5</v>
      </c>
      <c r="D165" s="136"/>
      <c r="E165" s="136"/>
      <c r="F165" s="22">
        <f>514+717.5-300</f>
        <v>931.5</v>
      </c>
      <c r="G165" s="136"/>
      <c r="H165" s="22"/>
      <c r="I165" s="22"/>
      <c r="J165" s="22"/>
      <c r="K165" s="69">
        <f t="shared" si="0"/>
        <v>931.5</v>
      </c>
      <c r="L165" s="85"/>
      <c r="M165" s="139"/>
      <c r="N165" s="8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59" s="18" customFormat="1" ht="21" customHeight="1">
      <c r="A166" s="60" t="s">
        <v>138</v>
      </c>
      <c r="B166" s="262" t="s">
        <v>76</v>
      </c>
      <c r="C166" s="27">
        <f>D166+E166+F166+G166</f>
        <v>290</v>
      </c>
      <c r="D166" s="22"/>
      <c r="E166" s="22"/>
      <c r="F166" s="22">
        <v>290</v>
      </c>
      <c r="G166" s="24"/>
      <c r="H166" s="27"/>
      <c r="I166" s="22"/>
      <c r="J166" s="24"/>
      <c r="K166" s="69">
        <f>C166+H166</f>
        <v>290</v>
      </c>
      <c r="L166" s="263"/>
      <c r="M166" s="264"/>
      <c r="N166" s="265"/>
      <c r="O166" s="265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</row>
    <row r="167" spans="1:59" ht="12.75">
      <c r="A167" s="60" t="s">
        <v>140</v>
      </c>
      <c r="B167" s="17" t="s">
        <v>309</v>
      </c>
      <c r="C167" s="27">
        <f>D167+E167+F167</f>
        <v>0</v>
      </c>
      <c r="D167" s="136"/>
      <c r="E167" s="136"/>
      <c r="F167" s="136"/>
      <c r="G167" s="22"/>
      <c r="H167" s="22">
        <f>7000+3800+10037.4+11000+19.6-1000-4638.4</f>
        <v>26218.6</v>
      </c>
      <c r="I167" s="22">
        <f>H167</f>
        <v>26218.6</v>
      </c>
      <c r="J167" s="22"/>
      <c r="K167" s="69">
        <f>H167+C167</f>
        <v>26218.6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1:59" ht="12.75">
      <c r="A168" s="60" t="s">
        <v>469</v>
      </c>
      <c r="B168" s="17" t="s">
        <v>473</v>
      </c>
      <c r="C168" s="27">
        <f>D168+E168+F168</f>
        <v>500</v>
      </c>
      <c r="D168" s="136"/>
      <c r="E168" s="136"/>
      <c r="F168" s="22">
        <v>500</v>
      </c>
      <c r="G168" s="22"/>
      <c r="H168" s="22"/>
      <c r="I168" s="22"/>
      <c r="J168" s="22"/>
      <c r="K168" s="69">
        <f>H168+C168</f>
        <v>500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1:59" ht="38.25" customHeight="1">
      <c r="A169" s="66" t="s">
        <v>24</v>
      </c>
      <c r="B169" s="17" t="s">
        <v>25</v>
      </c>
      <c r="C169" s="27"/>
      <c r="D169" s="27"/>
      <c r="E169" s="27"/>
      <c r="F169" s="27"/>
      <c r="G169" s="27"/>
      <c r="H169" s="27">
        <f>I169</f>
        <v>27220</v>
      </c>
      <c r="I169" s="27">
        <f>13820+4000+9400</f>
        <v>27220</v>
      </c>
      <c r="J169" s="27"/>
      <c r="K169" s="61">
        <f>C169+H169</f>
        <v>27220</v>
      </c>
      <c r="L169" s="7"/>
      <c r="M169" s="18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ht="25.5" customHeight="1">
      <c r="A170" s="60" t="s">
        <v>216</v>
      </c>
      <c r="B170" s="19" t="s">
        <v>26</v>
      </c>
      <c r="C170" s="27">
        <f>D170+E170+F170+G170</f>
        <v>1391.61</v>
      </c>
      <c r="D170" s="136"/>
      <c r="E170" s="136"/>
      <c r="F170" s="22"/>
      <c r="G170" s="22">
        <v>1391.61</v>
      </c>
      <c r="H170" s="22"/>
      <c r="I170" s="22">
        <f>H170</f>
        <v>0</v>
      </c>
      <c r="J170" s="22"/>
      <c r="K170" s="69">
        <f>C170+H170</f>
        <v>1391.61</v>
      </c>
      <c r="L170" s="85"/>
      <c r="M170" s="139"/>
      <c r="N170" s="85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1:59" s="18" customFormat="1" ht="38.25" customHeight="1">
      <c r="A171" s="58"/>
      <c r="B171" s="54" t="s">
        <v>47</v>
      </c>
      <c r="C171" s="42">
        <f>C172+C173</f>
        <v>2843.4</v>
      </c>
      <c r="D171" s="135">
        <f>D172</f>
        <v>0</v>
      </c>
      <c r="E171" s="135">
        <f>E172</f>
        <v>0</v>
      </c>
      <c r="F171" s="42">
        <f>F172+F173</f>
        <v>2843.4</v>
      </c>
      <c r="G171" s="143">
        <f>G172</f>
        <v>0</v>
      </c>
      <c r="H171" s="24"/>
      <c r="I171" s="24"/>
      <c r="J171" s="24"/>
      <c r="K171" s="83">
        <f>C171+H171</f>
        <v>2843.4</v>
      </c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</row>
    <row r="172" spans="1:59" ht="25.5" customHeight="1">
      <c r="A172" s="60" t="s">
        <v>216</v>
      </c>
      <c r="B172" s="19" t="s">
        <v>26</v>
      </c>
      <c r="C172" s="27">
        <f>D172+E172+F172+G172</f>
        <v>2843.4</v>
      </c>
      <c r="D172" s="136"/>
      <c r="E172" s="136"/>
      <c r="F172" s="22">
        <f>1000+400+208.4+210+1025</f>
        <v>2843.4</v>
      </c>
      <c r="G172" s="136"/>
      <c r="H172" s="22"/>
      <c r="I172" s="22"/>
      <c r="J172" s="22"/>
      <c r="K172" s="69">
        <f>C172+H172</f>
        <v>2843.4</v>
      </c>
      <c r="L172" s="85">
        <f>C172+C190+C119</f>
        <v>2843.4</v>
      </c>
      <c r="M172" s="139">
        <f>'№2'!C106</f>
        <v>4235.01</v>
      </c>
      <c r="N172" s="85">
        <f>L172-M172</f>
        <v>-1391.6100000000001</v>
      </c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1:59" ht="41.25" customHeight="1" hidden="1">
      <c r="A173" s="60" t="s">
        <v>40</v>
      </c>
      <c r="B173" s="67" t="s">
        <v>175</v>
      </c>
      <c r="C173" s="27">
        <f>C174</f>
        <v>0</v>
      </c>
      <c r="D173" s="136"/>
      <c r="E173" s="136"/>
      <c r="F173" s="22">
        <f>F174</f>
        <v>0</v>
      </c>
      <c r="G173" s="136"/>
      <c r="H173" s="22"/>
      <c r="I173" s="22"/>
      <c r="J173" s="22"/>
      <c r="K173" s="69">
        <f>C173+H173</f>
        <v>0</v>
      </c>
      <c r="L173" s="85"/>
      <c r="M173" s="139"/>
      <c r="N173" s="85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1:59" ht="25.5" customHeight="1" hidden="1">
      <c r="A174" s="60"/>
      <c r="B174" s="17" t="s">
        <v>471</v>
      </c>
      <c r="C174" s="27">
        <f>D174+E174+F174+G174</f>
        <v>0</v>
      </c>
      <c r="D174" s="136"/>
      <c r="E174" s="136"/>
      <c r="F174" s="22">
        <f>1025-1025</f>
        <v>0</v>
      </c>
      <c r="G174" s="136"/>
      <c r="H174" s="22"/>
      <c r="I174" s="22"/>
      <c r="J174" s="22"/>
      <c r="K174" s="69"/>
      <c r="L174" s="85"/>
      <c r="M174" s="139"/>
      <c r="N174" s="85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1:59" s="18" customFormat="1" ht="12.75">
      <c r="A175" s="58"/>
      <c r="B175" s="54" t="s">
        <v>326</v>
      </c>
      <c r="C175" s="42">
        <f>C176+C177</f>
        <v>659.8</v>
      </c>
      <c r="D175" s="135">
        <f>D176+D177</f>
        <v>0</v>
      </c>
      <c r="E175" s="135">
        <f>E176+E177</f>
        <v>0</v>
      </c>
      <c r="F175" s="42">
        <f>F176+F177</f>
        <v>659.8</v>
      </c>
      <c r="G175" s="135">
        <f>G176</f>
        <v>0</v>
      </c>
      <c r="H175" s="24"/>
      <c r="I175" s="24"/>
      <c r="J175" s="24"/>
      <c r="K175" s="83">
        <f t="shared" si="0"/>
        <v>659.8</v>
      </c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</row>
    <row r="176" spans="1:59" s="18" customFormat="1" ht="12.75">
      <c r="A176" s="66" t="s">
        <v>207</v>
      </c>
      <c r="B176" s="21" t="s">
        <v>314</v>
      </c>
      <c r="C176" s="27">
        <f>D176+E176+F176</f>
        <v>659.8</v>
      </c>
      <c r="D176" s="136"/>
      <c r="E176" s="136"/>
      <c r="F176" s="22">
        <f>519.8+140</f>
        <v>659.8</v>
      </c>
      <c r="G176" s="136"/>
      <c r="H176" s="22"/>
      <c r="I176" s="22"/>
      <c r="J176" s="22"/>
      <c r="K176" s="69">
        <f t="shared" si="0"/>
        <v>659.8</v>
      </c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</row>
    <row r="177" spans="1:59" s="18" customFormat="1" ht="25.5" hidden="1">
      <c r="A177" s="60" t="s">
        <v>148</v>
      </c>
      <c r="B177" s="21" t="s">
        <v>313</v>
      </c>
      <c r="C177" s="27">
        <f>D177+E177+F177</f>
        <v>0</v>
      </c>
      <c r="D177" s="136"/>
      <c r="E177" s="136"/>
      <c r="F177" s="22"/>
      <c r="G177" s="22"/>
      <c r="H177" s="22"/>
      <c r="I177" s="22"/>
      <c r="J177" s="22"/>
      <c r="K177" s="69">
        <f t="shared" si="0"/>
        <v>0</v>
      </c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</row>
    <row r="178" spans="1:59" s="18" customFormat="1" ht="25.5">
      <c r="A178" s="66"/>
      <c r="B178" s="51" t="s">
        <v>636</v>
      </c>
      <c r="C178" s="42">
        <f>C180+C179+C181+C192</f>
        <v>934.9</v>
      </c>
      <c r="D178" s="135">
        <f>D180+D179+D181</f>
        <v>0</v>
      </c>
      <c r="E178" s="135">
        <f>E180+E179+E181</f>
        <v>0</v>
      </c>
      <c r="F178" s="42">
        <f>F180+F179+F181+F192</f>
        <v>934.9</v>
      </c>
      <c r="G178" s="22"/>
      <c r="H178" s="22"/>
      <c r="I178" s="22"/>
      <c r="J178" s="22"/>
      <c r="K178" s="83">
        <f>C178+H178</f>
        <v>934.9</v>
      </c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</row>
    <row r="179" spans="1:59" ht="12.75" customHeight="1" hidden="1">
      <c r="A179" s="66" t="s">
        <v>226</v>
      </c>
      <c r="B179" s="21" t="s">
        <v>227</v>
      </c>
      <c r="C179" s="27">
        <f>D179+E179+F179</f>
        <v>0</v>
      </c>
      <c r="D179" s="27"/>
      <c r="E179" s="27"/>
      <c r="F179" s="27">
        <f>450-450</f>
        <v>0</v>
      </c>
      <c r="G179" s="22"/>
      <c r="H179" s="22"/>
      <c r="I179" s="22"/>
      <c r="J179" s="22"/>
      <c r="K179" s="69">
        <f t="shared" si="0"/>
        <v>0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1:59" s="18" customFormat="1" ht="25.5">
      <c r="A180" s="60" t="s">
        <v>148</v>
      </c>
      <c r="B180" s="21" t="s">
        <v>313</v>
      </c>
      <c r="C180" s="27">
        <f>D180+E180+F180</f>
        <v>930</v>
      </c>
      <c r="D180" s="22"/>
      <c r="E180" s="22"/>
      <c r="F180" s="22">
        <f>530+400</f>
        <v>930</v>
      </c>
      <c r="G180" s="22"/>
      <c r="H180" s="22"/>
      <c r="I180" s="22"/>
      <c r="J180" s="22"/>
      <c r="K180" s="69">
        <f t="shared" si="0"/>
        <v>930</v>
      </c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</row>
    <row r="181" spans="1:59" s="18" customFormat="1" ht="12.75" hidden="1">
      <c r="A181" s="60" t="s">
        <v>228</v>
      </c>
      <c r="B181" s="21" t="s">
        <v>229</v>
      </c>
      <c r="C181" s="27">
        <f aca="true" t="shared" si="12" ref="C181:C194">D181+E181+F181</f>
        <v>0</v>
      </c>
      <c r="D181" s="22"/>
      <c r="E181" s="22"/>
      <c r="F181" s="22">
        <f>212-212</f>
        <v>0</v>
      </c>
      <c r="G181" s="22"/>
      <c r="H181" s="22"/>
      <c r="I181" s="22"/>
      <c r="J181" s="22"/>
      <c r="K181" s="69">
        <f t="shared" si="0"/>
        <v>0</v>
      </c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</row>
    <row r="182" spans="1:59" s="18" customFormat="1" ht="12.75" hidden="1">
      <c r="A182" s="60"/>
      <c r="B182" s="51" t="s">
        <v>147</v>
      </c>
      <c r="C182" s="27">
        <f t="shared" si="12"/>
        <v>0</v>
      </c>
      <c r="D182" s="24"/>
      <c r="E182" s="24"/>
      <c r="F182" s="24">
        <f>F183</f>
        <v>0</v>
      </c>
      <c r="G182" s="24"/>
      <c r="H182" s="24"/>
      <c r="I182" s="24"/>
      <c r="J182" s="24"/>
      <c r="K182" s="69">
        <f t="shared" si="0"/>
        <v>0</v>
      </c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</row>
    <row r="183" spans="1:59" s="18" customFormat="1" ht="38.25" hidden="1">
      <c r="A183" s="66" t="s">
        <v>40</v>
      </c>
      <c r="B183" s="67" t="s">
        <v>168</v>
      </c>
      <c r="C183" s="27">
        <f t="shared" si="12"/>
        <v>0</v>
      </c>
      <c r="D183" s="22"/>
      <c r="E183" s="22"/>
      <c r="F183" s="22">
        <f>F184</f>
        <v>0</v>
      </c>
      <c r="G183" s="22"/>
      <c r="H183" s="22"/>
      <c r="I183" s="22"/>
      <c r="J183" s="22"/>
      <c r="K183" s="69">
        <f t="shared" si="0"/>
        <v>0</v>
      </c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</row>
    <row r="184" spans="1:59" s="18" customFormat="1" ht="25.5" hidden="1">
      <c r="A184" s="66"/>
      <c r="B184" s="67" t="s">
        <v>169</v>
      </c>
      <c r="C184" s="27">
        <f t="shared" si="12"/>
        <v>0</v>
      </c>
      <c r="D184" s="22"/>
      <c r="E184" s="22"/>
      <c r="F184" s="22">
        <f>1665.3-1665.3</f>
        <v>0</v>
      </c>
      <c r="G184" s="22"/>
      <c r="H184" s="22"/>
      <c r="I184" s="22"/>
      <c r="J184" s="22"/>
      <c r="K184" s="69">
        <f t="shared" si="0"/>
        <v>0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</row>
    <row r="185" spans="1:59" s="18" customFormat="1" ht="25.5" hidden="1">
      <c r="A185" s="66"/>
      <c r="B185" s="23" t="s">
        <v>201</v>
      </c>
      <c r="C185" s="27">
        <f t="shared" si="12"/>
        <v>0</v>
      </c>
      <c r="D185" s="135">
        <f aca="true" t="shared" si="13" ref="D185:I185">D186</f>
        <v>0</v>
      </c>
      <c r="E185" s="135">
        <f t="shared" si="13"/>
        <v>0</v>
      </c>
      <c r="F185" s="42">
        <f t="shared" si="13"/>
        <v>0</v>
      </c>
      <c r="G185" s="135">
        <f t="shared" si="13"/>
        <v>0</v>
      </c>
      <c r="H185" s="135">
        <f t="shared" si="13"/>
        <v>0</v>
      </c>
      <c r="I185" s="135">
        <f t="shared" si="13"/>
        <v>0</v>
      </c>
      <c r="J185" s="24"/>
      <c r="K185" s="69">
        <f t="shared" si="0"/>
        <v>0</v>
      </c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</row>
    <row r="186" spans="1:59" s="18" customFormat="1" ht="25.5" hidden="1">
      <c r="A186" s="60" t="s">
        <v>148</v>
      </c>
      <c r="B186" s="21" t="s">
        <v>313</v>
      </c>
      <c r="C186" s="27">
        <f t="shared" si="12"/>
        <v>0</v>
      </c>
      <c r="D186" s="136"/>
      <c r="E186" s="136"/>
      <c r="F186" s="22">
        <f>60-60</f>
        <v>0</v>
      </c>
      <c r="G186" s="136"/>
      <c r="H186" s="136"/>
      <c r="I186" s="136"/>
      <c r="J186" s="22"/>
      <c r="K186" s="69">
        <f t="shared" si="0"/>
        <v>0</v>
      </c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</row>
    <row r="187" spans="1:59" s="18" customFormat="1" ht="25.5" customHeight="1" hidden="1">
      <c r="A187" s="60"/>
      <c r="B187" s="51" t="s">
        <v>219</v>
      </c>
      <c r="C187" s="27">
        <f t="shared" si="12"/>
        <v>0</v>
      </c>
      <c r="D187" s="135">
        <f aca="true" t="shared" si="14" ref="D187:I187">D188</f>
        <v>0</v>
      </c>
      <c r="E187" s="135">
        <f t="shared" si="14"/>
        <v>0</v>
      </c>
      <c r="F187" s="42">
        <f t="shared" si="14"/>
        <v>0</v>
      </c>
      <c r="G187" s="135">
        <f t="shared" si="14"/>
        <v>0</v>
      </c>
      <c r="H187" s="135">
        <f t="shared" si="14"/>
        <v>0</v>
      </c>
      <c r="I187" s="135">
        <f t="shared" si="14"/>
        <v>0</v>
      </c>
      <c r="J187" s="24"/>
      <c r="K187" s="69">
        <f t="shared" si="0"/>
        <v>0</v>
      </c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</row>
    <row r="188" spans="1:59" s="18" customFormat="1" ht="25.5" hidden="1">
      <c r="A188" s="60" t="s">
        <v>148</v>
      </c>
      <c r="B188" s="21" t="s">
        <v>313</v>
      </c>
      <c r="C188" s="27">
        <f t="shared" si="12"/>
        <v>0</v>
      </c>
      <c r="D188" s="136"/>
      <c r="E188" s="136"/>
      <c r="F188" s="22"/>
      <c r="G188" s="22"/>
      <c r="H188" s="22"/>
      <c r="I188" s="22"/>
      <c r="J188" s="22"/>
      <c r="K188" s="69">
        <f t="shared" si="0"/>
        <v>0</v>
      </c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</row>
    <row r="189" spans="1:59" s="18" customFormat="1" ht="12.75" hidden="1">
      <c r="A189" s="65"/>
      <c r="B189" s="23" t="s">
        <v>221</v>
      </c>
      <c r="C189" s="27">
        <f t="shared" si="12"/>
        <v>0</v>
      </c>
      <c r="D189" s="143">
        <f>D190</f>
        <v>0</v>
      </c>
      <c r="E189" s="143">
        <f>E190</f>
        <v>0</v>
      </c>
      <c r="F189" s="24">
        <f>F190</f>
        <v>0</v>
      </c>
      <c r="G189" s="24"/>
      <c r="H189" s="24"/>
      <c r="I189" s="24"/>
      <c r="J189" s="24"/>
      <c r="K189" s="69">
        <f t="shared" si="0"/>
        <v>0</v>
      </c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</row>
    <row r="190" spans="1:59" s="18" customFormat="1" ht="38.25" hidden="1">
      <c r="A190" s="66" t="s">
        <v>40</v>
      </c>
      <c r="B190" s="67" t="s">
        <v>165</v>
      </c>
      <c r="C190" s="27">
        <f t="shared" si="12"/>
        <v>0</v>
      </c>
      <c r="D190" s="22"/>
      <c r="E190" s="22"/>
      <c r="F190" s="22">
        <f>F191</f>
        <v>0</v>
      </c>
      <c r="G190" s="22"/>
      <c r="H190" s="22"/>
      <c r="I190" s="22"/>
      <c r="J190" s="22"/>
      <c r="K190" s="69">
        <f t="shared" si="0"/>
        <v>0</v>
      </c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</row>
    <row r="191" spans="1:59" s="18" customFormat="1" ht="25.5" hidden="1">
      <c r="A191" s="66"/>
      <c r="B191" s="67" t="s">
        <v>167</v>
      </c>
      <c r="C191" s="27">
        <f t="shared" si="12"/>
        <v>0</v>
      </c>
      <c r="D191" s="22"/>
      <c r="E191" s="22"/>
      <c r="F191" s="22">
        <f>463-463</f>
        <v>0</v>
      </c>
      <c r="G191" s="22"/>
      <c r="H191" s="22"/>
      <c r="I191" s="22"/>
      <c r="J191" s="22"/>
      <c r="K191" s="69">
        <f t="shared" si="0"/>
        <v>0</v>
      </c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</row>
    <row r="192" spans="1:59" s="18" customFormat="1" ht="12.75">
      <c r="A192" s="66" t="s">
        <v>149</v>
      </c>
      <c r="B192" s="17" t="s">
        <v>321</v>
      </c>
      <c r="C192" s="27">
        <f t="shared" si="12"/>
        <v>4.9</v>
      </c>
      <c r="D192" s="22"/>
      <c r="E192" s="22"/>
      <c r="F192" s="22">
        <v>4.9</v>
      </c>
      <c r="G192" s="22"/>
      <c r="H192" s="22"/>
      <c r="I192" s="22"/>
      <c r="J192" s="22"/>
      <c r="K192" s="69">
        <f t="shared" si="0"/>
        <v>4.9</v>
      </c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</row>
    <row r="193" spans="1:59" s="18" customFormat="1" ht="25.5">
      <c r="A193" s="65"/>
      <c r="B193" s="23" t="s">
        <v>508</v>
      </c>
      <c r="C193" s="42">
        <f t="shared" si="12"/>
        <v>600</v>
      </c>
      <c r="D193" s="24"/>
      <c r="E193" s="24"/>
      <c r="F193" s="24">
        <f>F194</f>
        <v>600</v>
      </c>
      <c r="G193" s="24"/>
      <c r="H193" s="24"/>
      <c r="I193" s="24"/>
      <c r="J193" s="24"/>
      <c r="K193" s="83">
        <f t="shared" si="0"/>
        <v>600</v>
      </c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</row>
    <row r="194" spans="1:59" s="18" customFormat="1" ht="25.5">
      <c r="A194" s="66" t="s">
        <v>504</v>
      </c>
      <c r="B194" s="183" t="s">
        <v>505</v>
      </c>
      <c r="C194" s="27">
        <f t="shared" si="12"/>
        <v>600</v>
      </c>
      <c r="D194" s="22"/>
      <c r="E194" s="22"/>
      <c r="F194" s="22">
        <v>600</v>
      </c>
      <c r="G194" s="22"/>
      <c r="H194" s="22"/>
      <c r="I194" s="22"/>
      <c r="J194" s="22"/>
      <c r="K194" s="69">
        <f t="shared" si="0"/>
        <v>600</v>
      </c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</row>
    <row r="195" spans="1:59" s="18" customFormat="1" ht="12.75">
      <c r="A195" s="58"/>
      <c r="B195" s="53" t="s">
        <v>220</v>
      </c>
      <c r="C195" s="42">
        <f>C196+C197+C198+C199+C201+C202+C203+C204+C206+C208+C211+C212+C213+C214+C215+C217+C236+C221+C231+C232+C234+C235+C230+C219+C218+C233+C237+C222+C200+C220</f>
        <v>2098373.1999999997</v>
      </c>
      <c r="D195" s="42">
        <f>D196+D197+D198+D199+D201+D202+D203+D204+D206+D208+D211+D212+D213+D214+D215+D217+D236+D221+D231+D232+D234+D235+D230+D219+D218+D233</f>
        <v>0</v>
      </c>
      <c r="E195" s="42">
        <f>E196+E197+E198+E199+E201+E202+E203+E204+E206+E208+E211+E212+E213+E214+E215+E217+E236+E221+E231+E232+E234+E235+E230+E219+E218+E233</f>
        <v>0</v>
      </c>
      <c r="F195" s="42">
        <f>F196+F197+F198+F199+F201+F202+F203+F204+F206+F208+F211+F212+F213+F214+F215+F217+F236+F221+F231+F232+F234+F235+F230+F219+F218+F233+F237+F222+F200+F220</f>
        <v>2098373.1999999997</v>
      </c>
      <c r="G195" s="42">
        <f>G196+G197+G198+G199+G201+G202+G203+G204+G206+G208+G211+G212+G213+G214+G215+G217+G236+G221+G231+G232+G234+G235+G230+G219+G218+G233</f>
        <v>0</v>
      </c>
      <c r="H195" s="42">
        <f>H196+H197+H198+H199+H201+H202+H203+H204+H206+H208+H211+H212+H213+H214+H215+H217+H236+H221+H231+H232+H234+H235+H230+H219+H218+H233+H222+H216</f>
        <v>163350.6</v>
      </c>
      <c r="I195" s="42">
        <f>I196+I197+I198+I199+I201+I202+I203+I204+I206+I208+I211+I212+I213+I214+I215+I217+I236+I221+I231+I232+I234+I235+I230+I219+I218+I233+I222</f>
        <v>12500</v>
      </c>
      <c r="J195" s="42">
        <f>J196+J197+J198+J199+J201+J202+J203+J204+J206+J208+J211+J212+J213+J214+J215+J217+J236+J221+J231+J232+J234+J235+J230+J219+J218+J233+J222</f>
        <v>0</v>
      </c>
      <c r="K195" s="59">
        <f>K196+K197+K198+K199+K201+K202+K203+K204+K206+K208+K211+K212+K213+K214+K215+K217+K236+K221+K231+K232+K234+K235+K230+K219+K218+K233+K222+K237+K216+K200+K220</f>
        <v>2261723.8000000003</v>
      </c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</row>
    <row r="196" spans="1:59" ht="27" customHeight="1">
      <c r="A196" s="60" t="s">
        <v>208</v>
      </c>
      <c r="B196" s="17" t="s">
        <v>311</v>
      </c>
      <c r="C196" s="27">
        <f aca="true" t="shared" si="15" ref="C196:C237">D196+E196+F196</f>
        <v>0</v>
      </c>
      <c r="D196" s="22"/>
      <c r="E196" s="22"/>
      <c r="F196" s="22"/>
      <c r="G196" s="22"/>
      <c r="H196" s="22">
        <v>118394</v>
      </c>
      <c r="I196" s="22"/>
      <c r="J196" s="22"/>
      <c r="K196" s="69">
        <f t="shared" si="0"/>
        <v>118394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1:59" ht="38.25" hidden="1">
      <c r="A197" s="60"/>
      <c r="B197" s="17" t="s">
        <v>49</v>
      </c>
      <c r="C197" s="27">
        <f t="shared" si="15"/>
        <v>0</v>
      </c>
      <c r="D197" s="22"/>
      <c r="E197" s="22"/>
      <c r="F197" s="22"/>
      <c r="G197" s="22"/>
      <c r="H197" s="22"/>
      <c r="I197" s="22"/>
      <c r="J197" s="22"/>
      <c r="K197" s="69">
        <f t="shared" si="0"/>
        <v>0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1:59" ht="25.5" hidden="1">
      <c r="A198" s="66" t="s">
        <v>22</v>
      </c>
      <c r="B198" s="17" t="s">
        <v>475</v>
      </c>
      <c r="C198" s="27">
        <f t="shared" si="15"/>
        <v>0</v>
      </c>
      <c r="D198" s="144"/>
      <c r="E198" s="144"/>
      <c r="F198" s="27"/>
      <c r="G198" s="144"/>
      <c r="H198" s="27"/>
      <c r="I198" s="27"/>
      <c r="J198" s="27"/>
      <c r="K198" s="61">
        <f>H198+C198</f>
        <v>0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1:59" ht="25.5">
      <c r="A199" s="60" t="s">
        <v>148</v>
      </c>
      <c r="B199" s="21" t="s">
        <v>313</v>
      </c>
      <c r="C199" s="27">
        <f>D199+E199+F199</f>
        <v>11822.499999999995</v>
      </c>
      <c r="D199" s="22"/>
      <c r="E199" s="22"/>
      <c r="F199" s="22">
        <f>152922.8-100-715+1954.7-90-13720-20000-4560.4-4924.3-2000-400-519.8-11743-530-3510-850-2100-8300-3500-23124-132.8-12820-100-500-3350-3000-250-500-12000-514-30-30-1000-1000-140+8284.6-30-40-400-7000-460.4-700-850-2230-1600-74-400-270-400-700-250+418.1-100-200</f>
        <v>11822.499999999995</v>
      </c>
      <c r="G199" s="22"/>
      <c r="H199" s="22"/>
      <c r="I199" s="22">
        <f>H199</f>
        <v>0</v>
      </c>
      <c r="J199" s="22"/>
      <c r="K199" s="69">
        <f t="shared" si="0"/>
        <v>11822.499999999995</v>
      </c>
      <c r="L199" s="85">
        <f>153972.5-F199</f>
        <v>142150</v>
      </c>
      <c r="M199" s="28">
        <v>120434.3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1:59" ht="38.25" hidden="1">
      <c r="A200" s="60" t="s">
        <v>24</v>
      </c>
      <c r="B200" s="17" t="s">
        <v>25</v>
      </c>
      <c r="C200" s="27">
        <f>D200+E200+F200</f>
        <v>0</v>
      </c>
      <c r="D200" s="22"/>
      <c r="E200" s="22"/>
      <c r="F200" s="22"/>
      <c r="G200" s="22"/>
      <c r="H200" s="22"/>
      <c r="I200" s="22"/>
      <c r="J200" s="22"/>
      <c r="K200" s="69">
        <f t="shared" si="0"/>
        <v>0</v>
      </c>
      <c r="L200" s="85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1:59" ht="12.75" hidden="1">
      <c r="A201" s="60" t="s">
        <v>409</v>
      </c>
      <c r="B201" s="17" t="s">
        <v>410</v>
      </c>
      <c r="C201" s="144">
        <f t="shared" si="15"/>
        <v>0</v>
      </c>
      <c r="D201" s="22"/>
      <c r="E201" s="22"/>
      <c r="F201" s="22"/>
      <c r="G201" s="22"/>
      <c r="H201" s="22"/>
      <c r="I201" s="22"/>
      <c r="J201" s="22"/>
      <c r="K201" s="69">
        <f>C201+H201</f>
        <v>0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1:59" ht="12.75" hidden="1">
      <c r="A202" s="66" t="s">
        <v>209</v>
      </c>
      <c r="B202" s="21" t="s">
        <v>315</v>
      </c>
      <c r="C202" s="27">
        <f t="shared" si="15"/>
        <v>0</v>
      </c>
      <c r="D202" s="22"/>
      <c r="E202" s="22"/>
      <c r="F202" s="22"/>
      <c r="G202" s="22"/>
      <c r="H202" s="22"/>
      <c r="I202" s="22"/>
      <c r="J202" s="22"/>
      <c r="K202" s="69">
        <f t="shared" si="0"/>
        <v>0</v>
      </c>
      <c r="L202" s="85">
        <f>C202</f>
        <v>0</v>
      </c>
      <c r="M202" s="28">
        <f>'№2'!C109</f>
        <v>0</v>
      </c>
      <c r="N202" s="85">
        <f>L202-M202</f>
        <v>0</v>
      </c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1:59" ht="63.75">
      <c r="A203" s="60" t="s">
        <v>457</v>
      </c>
      <c r="B203" s="21" t="s">
        <v>317</v>
      </c>
      <c r="C203" s="144">
        <f t="shared" si="15"/>
        <v>0</v>
      </c>
      <c r="D203" s="22"/>
      <c r="E203" s="22"/>
      <c r="F203" s="22"/>
      <c r="G203" s="22"/>
      <c r="H203" s="22">
        <f>49000-4000-34940-7060</f>
        <v>3000</v>
      </c>
      <c r="I203" s="22"/>
      <c r="J203" s="22"/>
      <c r="K203" s="69">
        <f aca="true" t="shared" si="16" ref="K203:K237">C203+H203</f>
        <v>3000</v>
      </c>
      <c r="L203" s="28"/>
      <c r="M203" s="85">
        <f>M199-L199</f>
        <v>-21715.699999999997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1:59" ht="12.75">
      <c r="A204" s="60">
        <v>250102</v>
      </c>
      <c r="B204" s="37" t="s">
        <v>319</v>
      </c>
      <c r="C204" s="27">
        <f t="shared" si="15"/>
        <v>6191.6</v>
      </c>
      <c r="D204" s="22"/>
      <c r="E204" s="22"/>
      <c r="F204" s="22">
        <f>7000-600-208.4</f>
        <v>6191.6</v>
      </c>
      <c r="G204" s="22"/>
      <c r="H204" s="22"/>
      <c r="I204" s="22"/>
      <c r="J204" s="22"/>
      <c r="K204" s="69">
        <f t="shared" si="16"/>
        <v>6191.6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1:59" ht="43.5" customHeight="1" hidden="1">
      <c r="A205" s="66" t="s">
        <v>210</v>
      </c>
      <c r="B205" s="49" t="s">
        <v>41</v>
      </c>
      <c r="C205" s="27">
        <f t="shared" si="15"/>
        <v>0</v>
      </c>
      <c r="D205" s="22"/>
      <c r="E205" s="22"/>
      <c r="F205" s="22"/>
      <c r="G205" s="22"/>
      <c r="H205" s="22"/>
      <c r="I205" s="22"/>
      <c r="J205" s="22"/>
      <c r="K205" s="69">
        <f t="shared" si="16"/>
        <v>0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1:59" ht="30" customHeight="1">
      <c r="A206" s="66" t="s">
        <v>211</v>
      </c>
      <c r="B206" s="21" t="s">
        <v>327</v>
      </c>
      <c r="C206" s="27">
        <f t="shared" si="15"/>
        <v>364907.99999999994</v>
      </c>
      <c r="D206" s="22"/>
      <c r="E206" s="22"/>
      <c r="F206" s="27">
        <f>163278.5+10000-10000+90+22500+13720+20000+400+2000+5000-5000+30+30+30+2230+1600+74+50745.6+7000-5000+4000+59691.6+11886.3-1000+1902+9400+300</f>
        <v>364907.99999999994</v>
      </c>
      <c r="G206" s="22"/>
      <c r="H206" s="22"/>
      <c r="I206" s="22"/>
      <c r="J206" s="22"/>
      <c r="K206" s="69">
        <f t="shared" si="16"/>
        <v>364907.99999999994</v>
      </c>
      <c r="L206" s="85">
        <v>282728.1</v>
      </c>
      <c r="M206" s="85">
        <f>L206-K206</f>
        <v>-82179.89999999997</v>
      </c>
      <c r="N206" s="85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1:59" ht="25.5" hidden="1">
      <c r="A207" s="66" t="s">
        <v>30</v>
      </c>
      <c r="B207" s="17" t="s">
        <v>31</v>
      </c>
      <c r="C207" s="27">
        <f t="shared" si="15"/>
        <v>0</v>
      </c>
      <c r="D207" s="22"/>
      <c r="E207" s="22"/>
      <c r="F207" s="22"/>
      <c r="G207" s="22"/>
      <c r="H207" s="22"/>
      <c r="I207" s="22"/>
      <c r="J207" s="22"/>
      <c r="K207" s="69">
        <f t="shared" si="16"/>
        <v>0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1:13" s="18" customFormat="1" ht="25.5">
      <c r="A208" s="66" t="s">
        <v>364</v>
      </c>
      <c r="B208" s="43" t="s">
        <v>368</v>
      </c>
      <c r="C208" s="27">
        <f>D208+E208+F208</f>
        <v>65401.1</v>
      </c>
      <c r="D208" s="42"/>
      <c r="E208" s="42"/>
      <c r="F208" s="27">
        <f>40547.5+24853.6</f>
        <v>65401.1</v>
      </c>
      <c r="G208" s="42"/>
      <c r="H208" s="42"/>
      <c r="I208" s="42"/>
      <c r="J208" s="42"/>
      <c r="K208" s="61">
        <f t="shared" si="16"/>
        <v>65401.1</v>
      </c>
      <c r="L208" s="25"/>
      <c r="M208" s="26"/>
    </row>
    <row r="209" spans="1:59" ht="102" hidden="1">
      <c r="A209" s="66" t="s">
        <v>36</v>
      </c>
      <c r="B209" s="43" t="s">
        <v>198</v>
      </c>
      <c r="C209" s="27">
        <f t="shared" si="15"/>
        <v>0</v>
      </c>
      <c r="D209" s="22"/>
      <c r="E209" s="22"/>
      <c r="F209" s="22"/>
      <c r="G209" s="22"/>
      <c r="H209" s="22"/>
      <c r="I209" s="22"/>
      <c r="J209" s="22"/>
      <c r="K209" s="69">
        <f t="shared" si="16"/>
        <v>0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1:59" ht="51" hidden="1">
      <c r="A210" s="66" t="s">
        <v>284</v>
      </c>
      <c r="B210" s="117" t="s">
        <v>199</v>
      </c>
      <c r="C210" s="27">
        <f t="shared" si="15"/>
        <v>0</v>
      </c>
      <c r="D210" s="22"/>
      <c r="E210" s="22"/>
      <c r="F210" s="22"/>
      <c r="G210" s="22"/>
      <c r="H210" s="22"/>
      <c r="I210" s="22"/>
      <c r="J210" s="22"/>
      <c r="K210" s="69">
        <f t="shared" si="16"/>
        <v>0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1:59" ht="25.5">
      <c r="A211" s="66" t="s">
        <v>152</v>
      </c>
      <c r="B211" s="70" t="s">
        <v>153</v>
      </c>
      <c r="C211" s="27">
        <f t="shared" si="15"/>
        <v>12978.3</v>
      </c>
      <c r="D211" s="22"/>
      <c r="E211" s="22"/>
      <c r="F211" s="27">
        <f>12088.6+281.4+608.3</f>
        <v>12978.3</v>
      </c>
      <c r="G211" s="22"/>
      <c r="H211" s="22"/>
      <c r="I211" s="22"/>
      <c r="J211" s="22"/>
      <c r="K211" s="69">
        <f t="shared" si="16"/>
        <v>12978.3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59" ht="57" customHeight="1">
      <c r="A212" s="66" t="s">
        <v>483</v>
      </c>
      <c r="B212" s="70" t="s">
        <v>478</v>
      </c>
      <c r="C212" s="27">
        <f>D212+E212+F212</f>
        <v>804631.1</v>
      </c>
      <c r="D212" s="42"/>
      <c r="E212" s="42"/>
      <c r="F212" s="27">
        <f>733190.5+71440.6</f>
        <v>804631.1</v>
      </c>
      <c r="G212" s="42"/>
      <c r="H212" s="42"/>
      <c r="I212" s="42"/>
      <c r="J212" s="42"/>
      <c r="K212" s="61">
        <f t="shared" si="16"/>
        <v>804631.1</v>
      </c>
      <c r="L212" s="7"/>
      <c r="M212" s="18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13" s="18" customFormat="1" ht="69" customHeight="1">
      <c r="A213" s="123" t="s">
        <v>42</v>
      </c>
      <c r="B213" s="159" t="s">
        <v>94</v>
      </c>
      <c r="C213" s="203">
        <f t="shared" si="15"/>
        <v>552589.2</v>
      </c>
      <c r="D213" s="203"/>
      <c r="E213" s="203"/>
      <c r="F213" s="203">
        <v>552589.2</v>
      </c>
      <c r="G213" s="203"/>
      <c r="H213" s="203"/>
      <c r="I213" s="203"/>
      <c r="J213" s="203"/>
      <c r="K213" s="204">
        <f>H213+C213</f>
        <v>552589.2</v>
      </c>
      <c r="L213" s="25"/>
      <c r="M213" s="26"/>
    </row>
    <row r="214" spans="1:13" s="18" customFormat="1" ht="105" customHeight="1">
      <c r="A214" s="66" t="s">
        <v>43</v>
      </c>
      <c r="B214" s="209" t="s">
        <v>485</v>
      </c>
      <c r="C214" s="27">
        <f>D214+E214+F214</f>
        <v>93703</v>
      </c>
      <c r="D214" s="27"/>
      <c r="E214" s="27"/>
      <c r="F214" s="27">
        <v>93703</v>
      </c>
      <c r="G214" s="27"/>
      <c r="H214" s="27"/>
      <c r="I214" s="27"/>
      <c r="J214" s="27"/>
      <c r="K214" s="69">
        <f>H214+C214</f>
        <v>93703</v>
      </c>
      <c r="L214" s="25"/>
      <c r="M214" s="26"/>
    </row>
    <row r="215" spans="1:13" s="18" customFormat="1" ht="69.75" customHeight="1">
      <c r="A215" s="123" t="s">
        <v>44</v>
      </c>
      <c r="B215" s="67" t="s">
        <v>484</v>
      </c>
      <c r="C215" s="122">
        <f t="shared" si="15"/>
        <v>31203.3</v>
      </c>
      <c r="D215" s="122"/>
      <c r="E215" s="122"/>
      <c r="F215" s="122">
        <v>31203.3</v>
      </c>
      <c r="G215" s="122"/>
      <c r="H215" s="122"/>
      <c r="I215" s="122"/>
      <c r="J215" s="122"/>
      <c r="K215" s="127">
        <f t="shared" si="16"/>
        <v>31203.3</v>
      </c>
      <c r="L215" s="25"/>
      <c r="M215" s="26"/>
    </row>
    <row r="216" spans="1:13" s="18" customFormat="1" ht="91.5" customHeight="1">
      <c r="A216" s="66" t="s">
        <v>358</v>
      </c>
      <c r="B216" s="241" t="s">
        <v>359</v>
      </c>
      <c r="C216" s="27"/>
      <c r="D216" s="122"/>
      <c r="E216" s="122"/>
      <c r="F216" s="122"/>
      <c r="G216" s="122"/>
      <c r="H216" s="122">
        <v>4527.7</v>
      </c>
      <c r="I216" s="122"/>
      <c r="J216" s="122"/>
      <c r="K216" s="61">
        <f t="shared" si="16"/>
        <v>4527.7</v>
      </c>
      <c r="L216" s="25"/>
      <c r="M216" s="26"/>
    </row>
    <row r="217" spans="1:13" s="18" customFormat="1" ht="25.5" hidden="1">
      <c r="A217" s="66" t="s">
        <v>411</v>
      </c>
      <c r="B217" s="17" t="s">
        <v>610</v>
      </c>
      <c r="C217" s="27">
        <f>D217+E217+F217</f>
        <v>0</v>
      </c>
      <c r="D217" s="27"/>
      <c r="E217" s="27"/>
      <c r="F217" s="27"/>
      <c r="G217" s="27"/>
      <c r="H217" s="27"/>
      <c r="I217" s="27"/>
      <c r="J217" s="27"/>
      <c r="K217" s="61">
        <f t="shared" si="16"/>
        <v>0</v>
      </c>
      <c r="L217" s="25"/>
      <c r="M217" s="26"/>
    </row>
    <row r="218" spans="1:12" s="18" customFormat="1" ht="83.25" customHeight="1" hidden="1">
      <c r="A218" s="123" t="s">
        <v>365</v>
      </c>
      <c r="B218" s="206" t="s">
        <v>125</v>
      </c>
      <c r="C218" s="122"/>
      <c r="D218" s="27"/>
      <c r="E218" s="27"/>
      <c r="F218" s="27"/>
      <c r="G218" s="27"/>
      <c r="H218" s="44"/>
      <c r="I218" s="44"/>
      <c r="J218" s="27"/>
      <c r="K218" s="61">
        <f t="shared" si="16"/>
        <v>0</v>
      </c>
      <c r="L218" s="20"/>
    </row>
    <row r="219" spans="1:12" s="18" customFormat="1" ht="99.75" customHeight="1" hidden="1">
      <c r="A219" s="66" t="s">
        <v>366</v>
      </c>
      <c r="B219" s="183" t="s">
        <v>347</v>
      </c>
      <c r="C219" s="122">
        <f>D219+E219+F219</f>
        <v>0</v>
      </c>
      <c r="D219" s="27"/>
      <c r="E219" s="27"/>
      <c r="F219" s="27"/>
      <c r="G219" s="27"/>
      <c r="H219" s="27"/>
      <c r="I219" s="27"/>
      <c r="J219" s="27"/>
      <c r="K219" s="61">
        <f t="shared" si="16"/>
        <v>0</v>
      </c>
      <c r="L219" s="20"/>
    </row>
    <row r="220" spans="1:12" s="18" customFormat="1" ht="38.25">
      <c r="A220" s="123" t="s">
        <v>237</v>
      </c>
      <c r="B220" s="183" t="s">
        <v>238</v>
      </c>
      <c r="C220" s="27">
        <f t="shared" si="15"/>
        <v>5600</v>
      </c>
      <c r="D220" s="27"/>
      <c r="E220" s="27"/>
      <c r="F220" s="27">
        <v>5600</v>
      </c>
      <c r="G220" s="27"/>
      <c r="H220" s="27"/>
      <c r="I220" s="27"/>
      <c r="J220" s="27"/>
      <c r="K220" s="61">
        <f t="shared" si="16"/>
        <v>5600</v>
      </c>
      <c r="L220" s="20"/>
    </row>
    <row r="221" spans="1:12" s="18" customFormat="1" ht="76.5">
      <c r="A221" s="66" t="s">
        <v>285</v>
      </c>
      <c r="B221" s="46" t="s">
        <v>466</v>
      </c>
      <c r="C221" s="27">
        <f t="shared" si="15"/>
        <v>36787.3</v>
      </c>
      <c r="D221" s="27"/>
      <c r="E221" s="27"/>
      <c r="F221" s="27">
        <v>36787.3</v>
      </c>
      <c r="G221" s="27"/>
      <c r="H221" s="27"/>
      <c r="I221" s="27"/>
      <c r="J221" s="27"/>
      <c r="K221" s="61">
        <f t="shared" si="16"/>
        <v>36787.3</v>
      </c>
      <c r="L221" s="20"/>
    </row>
    <row r="222" spans="1:12" s="18" customFormat="1" ht="38.25">
      <c r="A222" s="350" t="s">
        <v>40</v>
      </c>
      <c r="B222" s="67" t="s">
        <v>175</v>
      </c>
      <c r="C222" s="27">
        <f>D222+E222+F222</f>
        <v>2000</v>
      </c>
      <c r="D222" s="27"/>
      <c r="E222" s="27"/>
      <c r="F222" s="27">
        <f>F224+F225+F226+F227+F228+F229</f>
        <v>2000</v>
      </c>
      <c r="G222" s="27"/>
      <c r="H222" s="27">
        <f>H224+H225+H223</f>
        <v>9665.1</v>
      </c>
      <c r="I222" s="27"/>
      <c r="J222" s="27"/>
      <c r="K222" s="61">
        <f>C222+H222</f>
        <v>11665.1</v>
      </c>
      <c r="L222" s="20"/>
    </row>
    <row r="223" spans="1:16" s="18" customFormat="1" ht="38.25">
      <c r="A223" s="342"/>
      <c r="B223" s="67" t="s">
        <v>130</v>
      </c>
      <c r="C223" s="27"/>
      <c r="D223" s="27"/>
      <c r="E223" s="27"/>
      <c r="F223" s="27"/>
      <c r="G223" s="27"/>
      <c r="H223" s="27">
        <f>1000+7060</f>
        <v>8060</v>
      </c>
      <c r="I223" s="27"/>
      <c r="J223" s="27"/>
      <c r="K223" s="22">
        <f>C223+H223</f>
        <v>8060</v>
      </c>
      <c r="L223" s="196"/>
      <c r="M223" s="196">
        <f>C223-L223</f>
        <v>0</v>
      </c>
      <c r="N223" s="196">
        <f>'[1]№2'!$H$148</f>
        <v>1000</v>
      </c>
      <c r="O223" s="196">
        <f>H223-N223</f>
        <v>7060</v>
      </c>
      <c r="P223" s="3"/>
    </row>
    <row r="224" spans="1:12" s="18" customFormat="1" ht="27.75" customHeight="1">
      <c r="A224" s="342"/>
      <c r="B224" s="67" t="s">
        <v>369</v>
      </c>
      <c r="C224" s="148">
        <f t="shared" si="15"/>
        <v>0</v>
      </c>
      <c r="D224" s="27"/>
      <c r="E224" s="27"/>
      <c r="F224" s="27"/>
      <c r="G224" s="27"/>
      <c r="H224" s="27">
        <v>1605.1</v>
      </c>
      <c r="I224" s="27"/>
      <c r="J224" s="27"/>
      <c r="K224" s="69">
        <f t="shared" si="16"/>
        <v>1605.1</v>
      </c>
      <c r="L224" s="20"/>
    </row>
    <row r="225" spans="1:12" s="18" customFormat="1" ht="38.25" hidden="1">
      <c r="A225" s="342"/>
      <c r="B225" s="67" t="s">
        <v>193</v>
      </c>
      <c r="C225" s="148">
        <f t="shared" si="15"/>
        <v>0</v>
      </c>
      <c r="D225" s="27"/>
      <c r="E225" s="27"/>
      <c r="F225" s="27"/>
      <c r="G225" s="27"/>
      <c r="H225" s="27"/>
      <c r="I225" s="27"/>
      <c r="J225" s="27"/>
      <c r="K225" s="69">
        <f t="shared" si="16"/>
        <v>0</v>
      </c>
      <c r="L225" s="20"/>
    </row>
    <row r="226" spans="1:12" s="18" customFormat="1" ht="25.5" hidden="1">
      <c r="A226" s="342"/>
      <c r="B226" s="67" t="s">
        <v>45</v>
      </c>
      <c r="C226" s="27">
        <f>F226</f>
        <v>0</v>
      </c>
      <c r="D226" s="22"/>
      <c r="E226" s="22"/>
      <c r="F226" s="22"/>
      <c r="G226" s="27"/>
      <c r="H226" s="27"/>
      <c r="I226" s="27"/>
      <c r="J226" s="27"/>
      <c r="K226" s="69">
        <f t="shared" si="16"/>
        <v>0</v>
      </c>
      <c r="L226" s="20"/>
    </row>
    <row r="227" spans="1:12" s="18" customFormat="1" ht="12.75" hidden="1">
      <c r="A227" s="342"/>
      <c r="B227" s="67" t="s">
        <v>641</v>
      </c>
      <c r="C227" s="27">
        <f>F227</f>
        <v>0</v>
      </c>
      <c r="D227" s="22"/>
      <c r="E227" s="22"/>
      <c r="F227" s="22"/>
      <c r="G227" s="27"/>
      <c r="H227" s="27"/>
      <c r="I227" s="27"/>
      <c r="J227" s="27"/>
      <c r="K227" s="69">
        <f t="shared" si="16"/>
        <v>0</v>
      </c>
      <c r="L227" s="25">
        <f>L234+L235+L236</f>
        <v>25345.7</v>
      </c>
    </row>
    <row r="228" spans="1:59" ht="42" customHeight="1">
      <c r="A228" s="291"/>
      <c r="B228" s="17" t="s">
        <v>517</v>
      </c>
      <c r="C228" s="27">
        <f aca="true" t="shared" si="17" ref="C228:C234">D228+E228+F228</f>
        <v>2000</v>
      </c>
      <c r="D228" s="27"/>
      <c r="E228" s="27"/>
      <c r="F228" s="27">
        <v>2000</v>
      </c>
      <c r="G228" s="27"/>
      <c r="H228" s="27"/>
      <c r="I228" s="27"/>
      <c r="J228" s="27"/>
      <c r="K228" s="61">
        <f t="shared" si="16"/>
        <v>2000</v>
      </c>
      <c r="L228" s="7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ht="42" customHeight="1" hidden="1">
      <c r="A229" s="291"/>
      <c r="B229" s="67" t="s">
        <v>259</v>
      </c>
      <c r="C229" s="27">
        <f t="shared" si="17"/>
        <v>0</v>
      </c>
      <c r="D229" s="27"/>
      <c r="E229" s="27"/>
      <c r="F229" s="27">
        <f>460-460</f>
        <v>0</v>
      </c>
      <c r="G229" s="27"/>
      <c r="H229" s="27"/>
      <c r="I229" s="27"/>
      <c r="J229" s="27"/>
      <c r="K229" s="61">
        <f t="shared" si="16"/>
        <v>0</v>
      </c>
      <c r="L229" s="7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1:12" s="18" customFormat="1" ht="29.25" customHeight="1">
      <c r="A230" s="123" t="s">
        <v>534</v>
      </c>
      <c r="B230" s="186" t="s">
        <v>97</v>
      </c>
      <c r="C230" s="122">
        <f t="shared" si="17"/>
        <v>17500</v>
      </c>
      <c r="D230" s="27"/>
      <c r="E230" s="27"/>
      <c r="F230" s="27">
        <v>17500</v>
      </c>
      <c r="G230" s="27"/>
      <c r="H230" s="27"/>
      <c r="I230" s="27"/>
      <c r="J230" s="27"/>
      <c r="K230" s="125">
        <f>C230+H230</f>
        <v>17500</v>
      </c>
      <c r="L230" s="20"/>
    </row>
    <row r="231" spans="1:12" s="18" customFormat="1" ht="27.75" customHeight="1">
      <c r="A231" s="66" t="s">
        <v>119</v>
      </c>
      <c r="B231" s="181" t="s">
        <v>479</v>
      </c>
      <c r="C231" s="27">
        <f t="shared" si="17"/>
        <v>54700</v>
      </c>
      <c r="D231" s="27"/>
      <c r="E231" s="27"/>
      <c r="F231" s="27">
        <v>54700</v>
      </c>
      <c r="G231" s="27"/>
      <c r="H231" s="27">
        <v>12500</v>
      </c>
      <c r="I231" s="27">
        <v>12500</v>
      </c>
      <c r="J231" s="27"/>
      <c r="K231" s="61">
        <f t="shared" si="16"/>
        <v>67200</v>
      </c>
      <c r="L231" s="20"/>
    </row>
    <row r="232" spans="1:12" s="18" customFormat="1" ht="45" customHeight="1">
      <c r="A232" s="124" t="s">
        <v>118</v>
      </c>
      <c r="B232" s="181" t="s">
        <v>106</v>
      </c>
      <c r="C232" s="27">
        <f t="shared" si="17"/>
        <v>7400</v>
      </c>
      <c r="D232" s="27"/>
      <c r="E232" s="27"/>
      <c r="F232" s="27">
        <v>7400</v>
      </c>
      <c r="G232" s="27"/>
      <c r="H232" s="27">
        <v>14700</v>
      </c>
      <c r="I232" s="27"/>
      <c r="J232" s="27"/>
      <c r="K232" s="61">
        <f t="shared" si="16"/>
        <v>22100</v>
      </c>
      <c r="L232" s="20"/>
    </row>
    <row r="233" spans="1:12" s="18" customFormat="1" ht="84" customHeight="1">
      <c r="A233" s="66" t="s">
        <v>367</v>
      </c>
      <c r="B233" s="67" t="s">
        <v>127</v>
      </c>
      <c r="C233" s="27">
        <f t="shared" si="17"/>
        <v>3232.4000000000005</v>
      </c>
      <c r="D233" s="27"/>
      <c r="E233" s="27"/>
      <c r="F233" s="27">
        <f>1532.7+75+1450.4+174.3</f>
        <v>3232.4000000000005</v>
      </c>
      <c r="G233" s="27"/>
      <c r="H233" s="27"/>
      <c r="I233" s="27"/>
      <c r="J233" s="27"/>
      <c r="K233" s="61">
        <f>C233+H233</f>
        <v>3232.4000000000005</v>
      </c>
      <c r="L233" s="20"/>
    </row>
    <row r="234" spans="1:12" s="18" customFormat="1" ht="54" customHeight="1">
      <c r="A234" s="66" t="s">
        <v>120</v>
      </c>
      <c r="B234" s="181" t="s">
        <v>102</v>
      </c>
      <c r="C234" s="27">
        <f t="shared" si="17"/>
        <v>1632.1999999999998</v>
      </c>
      <c r="D234" s="27"/>
      <c r="E234" s="27"/>
      <c r="F234" s="27">
        <f>5470-3837.8</f>
        <v>1632.1999999999998</v>
      </c>
      <c r="G234" s="27"/>
      <c r="H234" s="27">
        <v>563.8</v>
      </c>
      <c r="I234" s="27"/>
      <c r="J234" s="27"/>
      <c r="K234" s="61">
        <f t="shared" si="16"/>
        <v>2196</v>
      </c>
      <c r="L234" s="20"/>
    </row>
    <row r="235" spans="1:13" s="18" customFormat="1" ht="12.75">
      <c r="A235" s="66" t="s">
        <v>51</v>
      </c>
      <c r="B235" s="67" t="s">
        <v>608</v>
      </c>
      <c r="C235" s="27">
        <f t="shared" si="15"/>
        <v>25475.7</v>
      </c>
      <c r="D235" s="27"/>
      <c r="E235" s="27"/>
      <c r="F235" s="27">
        <f>3000+2100+8300+600+6320+250+500-5000+600+700+850+400+250+300+100+385+480+3710.7+1000+500+130</f>
        <v>25475.7</v>
      </c>
      <c r="G235" s="27"/>
      <c r="H235" s="27"/>
      <c r="I235" s="27"/>
      <c r="J235" s="27"/>
      <c r="K235" s="69">
        <f t="shared" si="16"/>
        <v>25475.7</v>
      </c>
      <c r="L235" s="25">
        <f>18870+6075.7+100+300</f>
        <v>25345.7</v>
      </c>
      <c r="M235" s="243">
        <f>L235-F235</f>
        <v>-130</v>
      </c>
    </row>
    <row r="236" spans="1:12" s="18" customFormat="1" ht="55.5" customHeight="1">
      <c r="A236" s="66" t="s">
        <v>286</v>
      </c>
      <c r="B236" s="67" t="s">
        <v>248</v>
      </c>
      <c r="C236" s="27">
        <f t="shared" si="15"/>
        <v>500</v>
      </c>
      <c r="D236" s="27"/>
      <c r="E236" s="27"/>
      <c r="F236" s="27">
        <v>500</v>
      </c>
      <c r="G236" s="27"/>
      <c r="H236" s="27"/>
      <c r="I236" s="27"/>
      <c r="J236" s="27"/>
      <c r="K236" s="69">
        <f t="shared" si="16"/>
        <v>500</v>
      </c>
      <c r="L236" s="25"/>
    </row>
    <row r="237" spans="1:12" s="18" customFormat="1" ht="38.25" customHeight="1">
      <c r="A237" s="66" t="s">
        <v>262</v>
      </c>
      <c r="B237" s="67" t="s">
        <v>183</v>
      </c>
      <c r="C237" s="238">
        <f t="shared" si="15"/>
        <v>117.5</v>
      </c>
      <c r="D237" s="238"/>
      <c r="E237" s="238"/>
      <c r="F237" s="238">
        <f>41.6+21.7+28.8+25.4</f>
        <v>117.5</v>
      </c>
      <c r="G237" s="238"/>
      <c r="H237" s="238"/>
      <c r="I237" s="238"/>
      <c r="J237" s="238"/>
      <c r="K237" s="239">
        <f t="shared" si="16"/>
        <v>117.5</v>
      </c>
      <c r="L237" s="25"/>
    </row>
    <row r="238" spans="1:59" s="18" customFormat="1" ht="18" customHeight="1" thickBot="1">
      <c r="A238" s="382" t="s">
        <v>328</v>
      </c>
      <c r="B238" s="383"/>
      <c r="C238" s="90">
        <f>C15+C45+C61+C78+C101+C120+C140+C145+C195+C133+C175+C163+C178+C171+C193</f>
        <v>3316494.088999999</v>
      </c>
      <c r="D238" s="90">
        <f>D15+D45+D61+D78+D101+D120+D140+D145+D195+D133</f>
        <v>396449.9</v>
      </c>
      <c r="E238" s="90">
        <f>E15+E45+E61+E78+E101+E120+E140+E145+E195+E133</f>
        <v>96510.9</v>
      </c>
      <c r="F238" s="90">
        <f>F15+F45+F61+F78+F101+F120+F140+F145+F195+F133+F175+F163+F178+F171+F193</f>
        <v>2810296.599999999</v>
      </c>
      <c r="G238" s="90">
        <f>G15+G45+G61+G78+G101+G120+G140+G145+G195+G133+G163</f>
        <v>13236.688999999998</v>
      </c>
      <c r="H238" s="90">
        <f>H15+H45+H61+H78+H101+H120+H140+H145+H195+H133+H163</f>
        <v>689430.7999999999</v>
      </c>
      <c r="I238" s="90">
        <f>I15+I45+I61+I78+I101+I120+I140+I145+I195+I133+I163</f>
        <v>452237.89999999997</v>
      </c>
      <c r="J238" s="90" t="e">
        <f>J15+J45+J61+J78+J101+J120+J140+J145+J195+J133+J163</f>
        <v>#REF!</v>
      </c>
      <c r="K238" s="210">
        <f>K15+K45+K61+K78+K101+K120+K140+K145+K195+K133+K163+K175+K178+K171+K193</f>
        <v>4005924.889</v>
      </c>
      <c r="L238" s="84"/>
      <c r="M238" s="84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</row>
    <row r="239" spans="1:59" s="7" customFormat="1" ht="12.75">
      <c r="A239" s="91"/>
      <c r="B239" s="92"/>
      <c r="C239" s="154">
        <f>'№2'!C164</f>
        <v>3316494.089</v>
      </c>
      <c r="D239" s="25">
        <f>'№2'!D164</f>
        <v>396449.9</v>
      </c>
      <c r="E239" s="25">
        <f>'№2'!E164</f>
        <v>96510.9</v>
      </c>
      <c r="F239" s="25">
        <f>'№2'!F164</f>
        <v>2810296.6</v>
      </c>
      <c r="G239" s="25">
        <f>'№2'!G164</f>
        <v>13236.688999999998</v>
      </c>
      <c r="H239" s="25">
        <f>'№2'!H164</f>
        <v>689430.7999999999</v>
      </c>
      <c r="I239" s="25">
        <f>'№2'!I164</f>
        <v>452237.89999999997</v>
      </c>
      <c r="J239" s="25">
        <f>'№2'!J164</f>
        <v>2845.3</v>
      </c>
      <c r="K239" s="25">
        <f>'№2'!K164</f>
        <v>4005924.889</v>
      </c>
      <c r="L239" s="244" t="s">
        <v>635</v>
      </c>
      <c r="M239" s="141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</row>
    <row r="240" spans="3:13" ht="12.75">
      <c r="C240" s="243">
        <f aca="true" t="shared" si="18" ref="C240:J240">C239-C238</f>
        <v>0</v>
      </c>
      <c r="D240" s="243">
        <f t="shared" si="18"/>
        <v>0</v>
      </c>
      <c r="E240" s="243">
        <f t="shared" si="18"/>
        <v>0</v>
      </c>
      <c r="F240" s="243">
        <f t="shared" si="18"/>
        <v>0</v>
      </c>
      <c r="G240" s="243">
        <f t="shared" si="18"/>
        <v>0</v>
      </c>
      <c r="H240" s="243">
        <f t="shared" si="18"/>
        <v>0</v>
      </c>
      <c r="I240" s="243">
        <f t="shared" si="18"/>
        <v>0</v>
      </c>
      <c r="J240" s="243" t="e">
        <f t="shared" si="18"/>
        <v>#REF!</v>
      </c>
      <c r="K240" s="243">
        <f>K239-K238</f>
        <v>0</v>
      </c>
      <c r="L240" s="245"/>
      <c r="M240" s="142"/>
    </row>
    <row r="241" spans="3:12" ht="12.75">
      <c r="C241" s="29"/>
      <c r="D241" s="29"/>
      <c r="E241" s="29"/>
      <c r="F241" s="29"/>
      <c r="G241" s="29"/>
      <c r="H241" s="29"/>
      <c r="I241" s="29"/>
      <c r="J241" s="29"/>
      <c r="K241" s="29"/>
      <c r="L241" s="3"/>
    </row>
    <row r="242" spans="2:11" ht="12.75">
      <c r="B242" s="133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3:13" ht="15">
      <c r="C243" s="38"/>
      <c r="F243" s="93"/>
      <c r="I243" s="29"/>
      <c r="K243" s="29"/>
      <c r="M243" s="32">
        <f>1100+491.6+5000+700</f>
        <v>7291.6</v>
      </c>
    </row>
    <row r="244" spans="3:13" ht="12.75">
      <c r="C244" s="40"/>
      <c r="D244" s="40"/>
      <c r="E244" s="40"/>
      <c r="F244" s="40"/>
      <c r="G244" s="40"/>
      <c r="H244" s="40"/>
      <c r="I244" s="40"/>
      <c r="J244" s="40"/>
      <c r="K244" s="40"/>
      <c r="M244" s="32">
        <f>21376.4-26668-2000</f>
        <v>-7291.5999999999985</v>
      </c>
    </row>
    <row r="245" spans="3:13" ht="12.75">
      <c r="C245" s="38"/>
      <c r="D245" s="29"/>
      <c r="E245" s="29"/>
      <c r="F245" s="29"/>
      <c r="G245" s="29"/>
      <c r="H245" s="29"/>
      <c r="I245" s="29"/>
      <c r="J245" s="29"/>
      <c r="K245" s="29"/>
      <c r="M245" s="32">
        <f>-2000+54400</f>
        <v>52400</v>
      </c>
    </row>
    <row r="246" spans="2:12" ht="12.75">
      <c r="B246" s="133"/>
      <c r="C246" s="81"/>
      <c r="D246" s="81"/>
      <c r="E246" s="81"/>
      <c r="F246" s="81"/>
      <c r="G246" s="81"/>
      <c r="H246" s="81"/>
      <c r="I246" s="81"/>
      <c r="J246" s="81"/>
      <c r="K246" s="81"/>
      <c r="L246" s="85"/>
    </row>
    <row r="247" spans="3:12" ht="12.75">
      <c r="C247" s="85"/>
      <c r="D247" s="29"/>
      <c r="E247" s="29"/>
      <c r="F247" s="29"/>
      <c r="G247" s="29"/>
      <c r="H247" s="29"/>
      <c r="I247" s="29"/>
      <c r="J247" s="29"/>
      <c r="K247" s="29"/>
      <c r="L247" s="85"/>
    </row>
    <row r="248" spans="3:11" ht="12.75">
      <c r="C248" s="38"/>
      <c r="D248" s="38"/>
      <c r="E248" s="38"/>
      <c r="F248" s="38"/>
      <c r="G248" s="38"/>
      <c r="H248" s="38"/>
      <c r="I248" s="38"/>
      <c r="J248" s="38"/>
      <c r="K248" s="38"/>
    </row>
    <row r="249" ht="12.75">
      <c r="C249" s="32"/>
    </row>
    <row r="250" spans="2:11" ht="12.75">
      <c r="B250" s="133"/>
      <c r="C250" s="38"/>
      <c r="F250" s="30"/>
      <c r="K250" s="29"/>
    </row>
    <row r="251" ht="12.75">
      <c r="C251" s="38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  <row r="265" ht="12.75">
      <c r="C265" s="32"/>
    </row>
    <row r="266" ht="12.75">
      <c r="C266" s="32"/>
    </row>
    <row r="267" ht="12.75">
      <c r="C267" s="32"/>
    </row>
    <row r="268" ht="12.75">
      <c r="C268" s="32"/>
    </row>
    <row r="269" ht="12.75">
      <c r="C269" s="32"/>
    </row>
    <row r="270" ht="12.75">
      <c r="C270" s="32"/>
    </row>
    <row r="271" ht="12.75">
      <c r="C271" s="32"/>
    </row>
    <row r="272" ht="12.75">
      <c r="C272" s="32"/>
    </row>
    <row r="273" ht="12.75">
      <c r="C273" s="32"/>
    </row>
    <row r="274" ht="12.75">
      <c r="C274" s="32"/>
    </row>
    <row r="275" ht="12.75">
      <c r="C275" s="32"/>
    </row>
    <row r="276" ht="12.75">
      <c r="C276" s="32"/>
    </row>
    <row r="277" ht="12.75">
      <c r="C277" s="32"/>
    </row>
    <row r="278" ht="12.75">
      <c r="C278" s="32"/>
    </row>
    <row r="279" ht="12.75">
      <c r="C279" s="32"/>
    </row>
    <row r="280" ht="12.75">
      <c r="C280" s="32"/>
    </row>
    <row r="281" ht="12.75">
      <c r="C281" s="32"/>
    </row>
    <row r="282" ht="12.75">
      <c r="C282" s="32"/>
    </row>
    <row r="283" ht="12.75">
      <c r="C283" s="32"/>
    </row>
    <row r="284" ht="12.75">
      <c r="C284" s="32"/>
    </row>
    <row r="285" ht="12.75">
      <c r="C285" s="32"/>
    </row>
    <row r="286" ht="12.75">
      <c r="C286" s="32"/>
    </row>
    <row r="287" ht="12.75">
      <c r="C287" s="32"/>
    </row>
    <row r="288" ht="12.75">
      <c r="C288" s="32"/>
    </row>
    <row r="289" ht="12.75">
      <c r="C289" s="32"/>
    </row>
    <row r="290" ht="12.75">
      <c r="C290" s="32"/>
    </row>
    <row r="291" ht="12.75">
      <c r="C291" s="32"/>
    </row>
    <row r="292" ht="12.75">
      <c r="C292" s="32"/>
    </row>
    <row r="293" ht="12.75">
      <c r="C293" s="32"/>
    </row>
    <row r="294" ht="12.75">
      <c r="C294" s="32"/>
    </row>
    <row r="295" ht="12.75">
      <c r="C295" s="32"/>
    </row>
    <row r="296" ht="12.75">
      <c r="C296" s="32"/>
    </row>
    <row r="297" ht="12.75">
      <c r="C297" s="32"/>
    </row>
    <row r="298" ht="12.75">
      <c r="C298" s="32"/>
    </row>
    <row r="299" ht="12.75">
      <c r="C299" s="32"/>
    </row>
    <row r="300" ht="12.75">
      <c r="C300" s="32"/>
    </row>
    <row r="301" ht="12.75">
      <c r="C301" s="32"/>
    </row>
    <row r="302" ht="12.75">
      <c r="C302" s="32"/>
    </row>
    <row r="303" ht="12.75">
      <c r="C303" s="32"/>
    </row>
    <row r="304" ht="12.75">
      <c r="C304" s="32"/>
    </row>
    <row r="305" ht="12.75">
      <c r="C305" s="32"/>
    </row>
    <row r="306" ht="12.75">
      <c r="C306" s="32"/>
    </row>
    <row r="307" ht="12.75">
      <c r="C307" s="32"/>
    </row>
    <row r="308" ht="12.75">
      <c r="C308" s="32"/>
    </row>
    <row r="309" ht="12.75">
      <c r="C309" s="32"/>
    </row>
    <row r="310" ht="12.75">
      <c r="C310" s="32"/>
    </row>
    <row r="311" ht="12.75">
      <c r="C311" s="32"/>
    </row>
    <row r="312" ht="12.75">
      <c r="C312" s="32"/>
    </row>
    <row r="313" ht="12.75">
      <c r="C313" s="32"/>
    </row>
    <row r="314" ht="12.75">
      <c r="C314" s="32"/>
    </row>
    <row r="315" ht="12.75">
      <c r="C315" s="32"/>
    </row>
    <row r="316" ht="12.75">
      <c r="C316" s="32"/>
    </row>
    <row r="317" ht="12.75">
      <c r="C317" s="32"/>
    </row>
    <row r="318" ht="12.75">
      <c r="C318" s="32"/>
    </row>
    <row r="319" ht="12.75">
      <c r="C319" s="32"/>
    </row>
    <row r="320" ht="12.75">
      <c r="C320" s="32"/>
    </row>
    <row r="321" ht="12.75">
      <c r="C321" s="32"/>
    </row>
    <row r="322" ht="12.75">
      <c r="C322" s="32"/>
    </row>
    <row r="323" ht="12.75">
      <c r="C323" s="32"/>
    </row>
    <row r="324" ht="12.75">
      <c r="C324" s="32"/>
    </row>
    <row r="325" ht="12.75">
      <c r="C325" s="32"/>
    </row>
    <row r="326" ht="12.75">
      <c r="C326" s="32"/>
    </row>
    <row r="327" ht="12.75">
      <c r="C327" s="32"/>
    </row>
    <row r="328" ht="12.75">
      <c r="C328" s="32"/>
    </row>
    <row r="329" ht="12.75">
      <c r="C329" s="32"/>
    </row>
    <row r="330" ht="12.75">
      <c r="C330" s="32"/>
    </row>
    <row r="331" ht="12.75">
      <c r="C331" s="32"/>
    </row>
    <row r="332" ht="12.75">
      <c r="C332" s="32"/>
    </row>
    <row r="333" ht="12.75">
      <c r="C333" s="32"/>
    </row>
    <row r="334" ht="12.75">
      <c r="C334" s="32"/>
    </row>
    <row r="335" ht="12.75">
      <c r="C335" s="32"/>
    </row>
    <row r="336" ht="12.75">
      <c r="C336" s="32"/>
    </row>
    <row r="337" ht="12.75">
      <c r="C337" s="32"/>
    </row>
    <row r="338" ht="12.75">
      <c r="C338" s="32"/>
    </row>
    <row r="339" ht="12.75">
      <c r="C339" s="32"/>
    </row>
    <row r="340" ht="12.75">
      <c r="C340" s="32"/>
    </row>
    <row r="341" ht="12.75">
      <c r="C341" s="32"/>
    </row>
    <row r="342" ht="12.75">
      <c r="C342" s="32"/>
    </row>
    <row r="343" ht="12.75">
      <c r="C343" s="32"/>
    </row>
    <row r="344" ht="12.75">
      <c r="C344" s="32"/>
    </row>
    <row r="345" ht="12.75">
      <c r="C345" s="32"/>
    </row>
    <row r="346" ht="12.75">
      <c r="C346" s="32"/>
    </row>
    <row r="347" ht="12.75">
      <c r="C347" s="32"/>
    </row>
    <row r="348" ht="12.75">
      <c r="C348" s="32"/>
    </row>
    <row r="349" ht="12.75">
      <c r="C349" s="32"/>
    </row>
    <row r="350" ht="12.75">
      <c r="C350" s="32"/>
    </row>
    <row r="351" ht="12.75">
      <c r="C351" s="32"/>
    </row>
    <row r="352" ht="12.75">
      <c r="C352" s="32"/>
    </row>
    <row r="353" ht="12.75">
      <c r="C353" s="32"/>
    </row>
    <row r="354" ht="12.75">
      <c r="C354" s="32"/>
    </row>
    <row r="355" ht="12.75">
      <c r="C355" s="32"/>
    </row>
    <row r="356" ht="12.75">
      <c r="C356" s="32"/>
    </row>
    <row r="357" ht="12.75">
      <c r="C357" s="32"/>
    </row>
    <row r="358" ht="12.75">
      <c r="C358" s="32"/>
    </row>
    <row r="359" ht="12.75">
      <c r="C359" s="32"/>
    </row>
    <row r="360" ht="12.75">
      <c r="C360" s="32"/>
    </row>
    <row r="361" ht="12.75">
      <c r="C361" s="32"/>
    </row>
    <row r="362" ht="12.75">
      <c r="C362" s="32"/>
    </row>
    <row r="363" ht="12.75">
      <c r="C363" s="32"/>
    </row>
    <row r="364" ht="12.75">
      <c r="C364" s="32"/>
    </row>
    <row r="365" ht="12.75">
      <c r="C365" s="32"/>
    </row>
  </sheetData>
  <autoFilter ref="A14:BG240"/>
  <mergeCells count="18">
    <mergeCell ref="F1:K1"/>
    <mergeCell ref="G4:K4"/>
    <mergeCell ref="G5:K5"/>
    <mergeCell ref="G6:K6"/>
    <mergeCell ref="H11:J11"/>
    <mergeCell ref="A9:K9"/>
    <mergeCell ref="H10:K10"/>
    <mergeCell ref="A8:K8"/>
    <mergeCell ref="A238:B238"/>
    <mergeCell ref="H12:H13"/>
    <mergeCell ref="J12:J13"/>
    <mergeCell ref="K11:K13"/>
    <mergeCell ref="C12:C13"/>
    <mergeCell ref="D12:G12"/>
    <mergeCell ref="A222:A227"/>
    <mergeCell ref="A11:A13"/>
    <mergeCell ref="B11:B13"/>
    <mergeCell ref="C11:G11"/>
  </mergeCells>
  <printOptions/>
  <pageMargins left="0.8" right="0.29" top="0.24" bottom="0.5" header="0.44" footer="0.5"/>
  <pageSetup fitToHeight="4" fitToWidth="1" horizontalDpi="600" verticalDpi="600" orientation="portrait" paperSize="9" scale="61" r:id="rId1"/>
  <rowBreaks count="5" manualBreakCount="5">
    <brk id="66" max="10" man="1"/>
    <brk id="77" max="10" man="1"/>
    <brk id="132" max="10" man="1"/>
    <brk id="160" max="10" man="1"/>
    <brk id="21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186"/>
  <sheetViews>
    <sheetView view="pageBreakPreview" zoomScale="60" workbookViewId="0" topLeftCell="AA28">
      <selection activeCell="AD66" sqref="AD66:AD68"/>
    </sheetView>
  </sheetViews>
  <sheetFormatPr defaultColWidth="9.00390625" defaultRowHeight="12.75"/>
  <cols>
    <col min="1" max="1" width="22.625" style="3" customWidth="1"/>
    <col min="2" max="2" width="17.375" style="3" customWidth="1"/>
    <col min="3" max="3" width="19.00390625" style="3" customWidth="1"/>
    <col min="4" max="4" width="19.625" style="3" customWidth="1"/>
    <col min="5" max="5" width="25.00390625" style="3" customWidth="1"/>
    <col min="6" max="6" width="18.375" style="3" customWidth="1"/>
    <col min="7" max="7" width="16.375" style="3" customWidth="1"/>
    <col min="8" max="8" width="11.625" style="3" customWidth="1"/>
    <col min="9" max="9" width="12.625" style="3" customWidth="1"/>
    <col min="10" max="10" width="12.125" style="3" customWidth="1"/>
    <col min="11" max="11" width="22.00390625" style="3" customWidth="1"/>
    <col min="12" max="12" width="12.125" style="3" customWidth="1"/>
    <col min="13" max="13" width="18.00390625" style="3" customWidth="1"/>
    <col min="14" max="14" width="20.375" style="3" customWidth="1"/>
    <col min="15" max="15" width="12.25390625" style="3" customWidth="1"/>
    <col min="16" max="16" width="11.00390625" style="3" customWidth="1"/>
    <col min="17" max="17" width="23.125" style="3" customWidth="1"/>
    <col min="18" max="18" width="14.00390625" style="3" customWidth="1"/>
    <col min="19" max="19" width="19.375" style="3" customWidth="1"/>
    <col min="20" max="20" width="18.875" style="3" customWidth="1"/>
    <col min="21" max="21" width="12.75390625" style="3" customWidth="1"/>
    <col min="22" max="22" width="17.625" style="3" customWidth="1"/>
    <col min="23" max="23" width="13.25390625" style="3" customWidth="1"/>
    <col min="24" max="24" width="21.375" style="3" customWidth="1"/>
    <col min="25" max="25" width="16.625" style="3" customWidth="1"/>
    <col min="26" max="26" width="18.375" style="3" customWidth="1"/>
    <col min="27" max="27" width="17.875" style="3" customWidth="1"/>
    <col min="28" max="28" width="23.00390625" style="3" customWidth="1"/>
    <col min="29" max="29" width="22.125" style="3" customWidth="1"/>
    <col min="30" max="30" width="18.875" style="3" customWidth="1"/>
    <col min="31" max="32" width="16.125" style="3" customWidth="1"/>
    <col min="33" max="34" width="17.125" style="3" customWidth="1"/>
    <col min="35" max="35" width="13.625" style="3" customWidth="1"/>
    <col min="36" max="36" width="11.375" style="3" customWidth="1"/>
    <col min="37" max="37" width="14.625" style="214" customWidth="1"/>
    <col min="38" max="38" width="21.00390625" style="3" customWidth="1"/>
    <col min="39" max="16384" width="7.875" style="3" customWidth="1"/>
  </cols>
  <sheetData>
    <row r="1" ht="15.75">
      <c r="P1" s="213" t="s">
        <v>370</v>
      </c>
    </row>
    <row r="2" ht="15.75">
      <c r="P2" s="213" t="s">
        <v>231</v>
      </c>
    </row>
    <row r="3" ht="15.75">
      <c r="P3" s="213" t="s">
        <v>371</v>
      </c>
    </row>
    <row r="4" spans="2:36" ht="15" customHeight="1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</row>
    <row r="5" spans="1:36" ht="18.75" customHeight="1">
      <c r="A5" s="424" t="s">
        <v>531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1:37" ht="12.75" customHeight="1" thickBot="1">
      <c r="A6" s="217"/>
      <c r="B6" s="217"/>
      <c r="C6" s="217"/>
      <c r="D6" s="217"/>
      <c r="E6" s="217"/>
      <c r="F6" s="217"/>
      <c r="G6" s="217"/>
      <c r="H6" s="217"/>
      <c r="I6" s="217"/>
      <c r="J6" s="217"/>
      <c r="L6" s="218"/>
      <c r="M6" s="218"/>
      <c r="N6" s="218"/>
      <c r="P6" s="217"/>
      <c r="S6" s="218" t="s">
        <v>609</v>
      </c>
      <c r="T6" s="217"/>
      <c r="U6" s="217"/>
      <c r="V6" s="218"/>
      <c r="W6" s="218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8" t="s">
        <v>609</v>
      </c>
    </row>
    <row r="7" spans="1:37" s="219" customFormat="1" ht="21" customHeight="1" thickBot="1">
      <c r="A7" s="427" t="s">
        <v>170</v>
      </c>
      <c r="B7" s="414" t="s">
        <v>372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6"/>
      <c r="R7" s="414" t="s">
        <v>372</v>
      </c>
      <c r="S7" s="415"/>
      <c r="T7" s="415"/>
      <c r="U7" s="415"/>
      <c r="V7" s="415"/>
      <c r="W7" s="416"/>
      <c r="X7" s="407" t="s">
        <v>373</v>
      </c>
      <c r="Y7" s="407" t="s">
        <v>374</v>
      </c>
      <c r="Z7" s="407" t="s">
        <v>375</v>
      </c>
      <c r="AA7" s="408" t="s">
        <v>376</v>
      </c>
      <c r="AB7" s="409"/>
      <c r="AC7" s="409"/>
      <c r="AD7" s="409"/>
      <c r="AE7" s="410"/>
      <c r="AF7" s="407" t="s">
        <v>529</v>
      </c>
      <c r="AG7" s="407" t="s">
        <v>234</v>
      </c>
      <c r="AH7" s="398" t="s">
        <v>238</v>
      </c>
      <c r="AI7" s="399"/>
      <c r="AJ7" s="400"/>
      <c r="AK7" s="404" t="s">
        <v>377</v>
      </c>
    </row>
    <row r="8" spans="1:37" s="219" customFormat="1" ht="40.5" customHeight="1" thickBot="1">
      <c r="A8" s="428"/>
      <c r="B8" s="396" t="s">
        <v>378</v>
      </c>
      <c r="C8" s="396" t="s">
        <v>379</v>
      </c>
      <c r="D8" s="396" t="s">
        <v>380</v>
      </c>
      <c r="E8" s="412" t="s">
        <v>381</v>
      </c>
      <c r="F8" s="417" t="s">
        <v>382</v>
      </c>
      <c r="G8" s="418"/>
      <c r="H8" s="418"/>
      <c r="I8" s="418"/>
      <c r="J8" s="418"/>
      <c r="K8" s="419"/>
      <c r="L8" s="396" t="s">
        <v>383</v>
      </c>
      <c r="M8" s="412" t="s">
        <v>384</v>
      </c>
      <c r="N8" s="412" t="s">
        <v>235</v>
      </c>
      <c r="O8" s="425" t="s">
        <v>385</v>
      </c>
      <c r="P8" s="425" t="s">
        <v>386</v>
      </c>
      <c r="Q8" s="412" t="s">
        <v>387</v>
      </c>
      <c r="R8" s="396" t="s">
        <v>388</v>
      </c>
      <c r="S8" s="396" t="s">
        <v>389</v>
      </c>
      <c r="T8" s="396" t="s">
        <v>390</v>
      </c>
      <c r="U8" s="396" t="s">
        <v>391</v>
      </c>
      <c r="V8" s="396" t="s">
        <v>392</v>
      </c>
      <c r="W8" s="396" t="s">
        <v>263</v>
      </c>
      <c r="X8" s="396"/>
      <c r="Y8" s="396"/>
      <c r="Z8" s="396"/>
      <c r="AA8" s="407" t="s">
        <v>393</v>
      </c>
      <c r="AB8" s="411" t="s">
        <v>239</v>
      </c>
      <c r="AC8" s="407" t="s">
        <v>394</v>
      </c>
      <c r="AD8" s="407" t="s">
        <v>396</v>
      </c>
      <c r="AE8" s="407" t="s">
        <v>397</v>
      </c>
      <c r="AF8" s="396"/>
      <c r="AG8" s="396"/>
      <c r="AH8" s="401"/>
      <c r="AI8" s="402"/>
      <c r="AJ8" s="403"/>
      <c r="AK8" s="405"/>
    </row>
    <row r="9" spans="1:37" s="219" customFormat="1" ht="81.75" customHeight="1" thickBot="1">
      <c r="A9" s="428"/>
      <c r="B9" s="396"/>
      <c r="C9" s="396"/>
      <c r="D9" s="396"/>
      <c r="E9" s="412"/>
      <c r="F9" s="407" t="s">
        <v>398</v>
      </c>
      <c r="G9" s="407" t="s">
        <v>400</v>
      </c>
      <c r="H9" s="407" t="s">
        <v>401</v>
      </c>
      <c r="I9" s="422" t="s">
        <v>402</v>
      </c>
      <c r="J9" s="423"/>
      <c r="K9" s="411" t="s">
        <v>403</v>
      </c>
      <c r="L9" s="396"/>
      <c r="M9" s="412"/>
      <c r="N9" s="412"/>
      <c r="O9" s="425"/>
      <c r="P9" s="425"/>
      <c r="Q9" s="412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412"/>
      <c r="AC9" s="396"/>
      <c r="AD9" s="396"/>
      <c r="AE9" s="396"/>
      <c r="AF9" s="396"/>
      <c r="AG9" s="396"/>
      <c r="AH9" s="407" t="s">
        <v>253</v>
      </c>
      <c r="AI9" s="420" t="s">
        <v>255</v>
      </c>
      <c r="AJ9" s="421"/>
      <c r="AK9" s="405"/>
    </row>
    <row r="10" spans="1:37" s="219" customFormat="1" ht="276" customHeight="1" thickBot="1">
      <c r="A10" s="429"/>
      <c r="B10" s="397"/>
      <c r="C10" s="397"/>
      <c r="D10" s="397"/>
      <c r="E10" s="413"/>
      <c r="F10" s="397"/>
      <c r="G10" s="397"/>
      <c r="H10" s="397"/>
      <c r="I10" s="220" t="s">
        <v>404</v>
      </c>
      <c r="J10" s="220" t="s">
        <v>405</v>
      </c>
      <c r="K10" s="413"/>
      <c r="L10" s="397"/>
      <c r="M10" s="413"/>
      <c r="N10" s="413"/>
      <c r="O10" s="426"/>
      <c r="P10" s="426"/>
      <c r="Q10" s="413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413"/>
      <c r="AC10" s="397"/>
      <c r="AD10" s="397"/>
      <c r="AE10" s="397"/>
      <c r="AF10" s="397"/>
      <c r="AG10" s="397"/>
      <c r="AH10" s="397"/>
      <c r="AI10" s="329" t="s">
        <v>82</v>
      </c>
      <c r="AJ10" s="329" t="s">
        <v>83</v>
      </c>
      <c r="AK10" s="406"/>
    </row>
    <row r="11" spans="1:56" s="226" customFormat="1" ht="15.75" customHeight="1">
      <c r="A11" s="221" t="s">
        <v>412</v>
      </c>
      <c r="B11" s="222">
        <v>4859.9</v>
      </c>
      <c r="C11" s="222">
        <v>1998.5</v>
      </c>
      <c r="D11" s="222">
        <v>283.3</v>
      </c>
      <c r="E11" s="222">
        <v>994.5</v>
      </c>
      <c r="F11" s="334">
        <v>885.6</v>
      </c>
      <c r="G11" s="334"/>
      <c r="H11" s="334">
        <v>93.7</v>
      </c>
      <c r="I11" s="223"/>
      <c r="J11" s="334"/>
      <c r="K11" s="222">
        <v>15.2</v>
      </c>
      <c r="L11" s="334"/>
      <c r="M11" s="277">
        <f>11.7+0.4534+16.875</f>
        <v>29.028399999999998</v>
      </c>
      <c r="N11" s="222"/>
      <c r="O11" s="334"/>
      <c r="P11" s="222"/>
      <c r="Q11" s="222"/>
      <c r="R11" s="334"/>
      <c r="S11" s="222">
        <v>278.6</v>
      </c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>
        <v>387.8</v>
      </c>
      <c r="AH11" s="296">
        <f>AI11+AJ11</f>
        <v>0</v>
      </c>
      <c r="AI11" s="296"/>
      <c r="AJ11" s="296"/>
      <c r="AK11" s="224">
        <f>AH11+AG11+AF11+AE11+AD11+AC11+AB11+AA11+Z11+Y11+X11+W11+V11+U11+T11+S11+R11+Q11+P11+O11+N11+M11+L11+E11+D11+C11+B11</f>
        <v>8831.6284</v>
      </c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</row>
    <row r="12" spans="1:56" s="226" customFormat="1" ht="15.75" customHeight="1">
      <c r="A12" s="227" t="s">
        <v>413</v>
      </c>
      <c r="B12" s="228">
        <v>22143.5</v>
      </c>
      <c r="C12" s="228">
        <v>22980.7</v>
      </c>
      <c r="D12" s="228">
        <v>462.6</v>
      </c>
      <c r="E12" s="228">
        <f aca="true" t="shared" si="0" ref="E12:E56">F12+H12+I12+J12+K12+G12</f>
        <v>3417.1</v>
      </c>
      <c r="F12" s="228">
        <v>2814.7</v>
      </c>
      <c r="G12" s="228"/>
      <c r="H12" s="228">
        <v>518</v>
      </c>
      <c r="I12" s="229"/>
      <c r="J12" s="228"/>
      <c r="K12" s="228">
        <v>84.4</v>
      </c>
      <c r="L12" s="228"/>
      <c r="M12" s="278">
        <f>18.2+0.8176+39.986+6.886</f>
        <v>65.88959999999999</v>
      </c>
      <c r="N12" s="228"/>
      <c r="O12" s="228"/>
      <c r="P12" s="228"/>
      <c r="Q12" s="228"/>
      <c r="R12" s="228"/>
      <c r="S12" s="228">
        <v>999.6</v>
      </c>
      <c r="T12" s="228"/>
      <c r="U12" s="228"/>
      <c r="V12" s="228"/>
      <c r="W12" s="228"/>
      <c r="X12" s="228">
        <v>860</v>
      </c>
      <c r="Y12" s="228"/>
      <c r="Z12" s="228"/>
      <c r="AA12" s="228"/>
      <c r="AB12" s="228"/>
      <c r="AC12" s="228"/>
      <c r="AD12" s="228"/>
      <c r="AE12" s="228"/>
      <c r="AF12" s="228"/>
      <c r="AG12" s="228">
        <v>1422.4</v>
      </c>
      <c r="AH12" s="296">
        <f aca="true" t="shared" si="1" ref="AH12:AH55">AI12+AJ12</f>
        <v>323</v>
      </c>
      <c r="AI12" s="297"/>
      <c r="AJ12" s="297">
        <v>323</v>
      </c>
      <c r="AK12" s="224">
        <f aca="true" t="shared" si="2" ref="AK12:AK56">AH12+AG12+AF12+AE12+AD12+AC12+AB12+AA12+Z12+Y12+X12+W12+V12+U12+T12+S12+R12+Q12+P12+O12+N12+M12+L12+E12+D12+C12+B12</f>
        <v>52674.789600000004</v>
      </c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</row>
    <row r="13" spans="1:56" s="226" customFormat="1" ht="15.75" customHeight="1">
      <c r="A13" s="227" t="s">
        <v>414</v>
      </c>
      <c r="B13" s="228">
        <v>64853.6</v>
      </c>
      <c r="C13" s="228">
        <v>43931.4</v>
      </c>
      <c r="D13" s="228">
        <v>1030.7</v>
      </c>
      <c r="E13" s="228">
        <f t="shared" si="0"/>
        <v>4089.4</v>
      </c>
      <c r="F13" s="228">
        <v>3068.3</v>
      </c>
      <c r="G13" s="228"/>
      <c r="H13" s="228">
        <v>794.9</v>
      </c>
      <c r="I13" s="229"/>
      <c r="J13" s="228"/>
      <c r="K13" s="228">
        <v>226.2</v>
      </c>
      <c r="L13" s="228"/>
      <c r="M13" s="278">
        <f>11.7+0.6+19.231</f>
        <v>31.531</v>
      </c>
      <c r="N13" s="228"/>
      <c r="O13" s="228"/>
      <c r="P13" s="228"/>
      <c r="Q13" s="228"/>
      <c r="R13" s="228"/>
      <c r="S13" s="228">
        <v>1953.1</v>
      </c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>
        <v>634.9</v>
      </c>
      <c r="AH13" s="296">
        <f t="shared" si="1"/>
        <v>0</v>
      </c>
      <c r="AI13" s="297"/>
      <c r="AJ13" s="297"/>
      <c r="AK13" s="224">
        <f t="shared" si="2"/>
        <v>116524.631</v>
      </c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</row>
    <row r="14" spans="1:56" s="226" customFormat="1" ht="15.75" customHeight="1">
      <c r="A14" s="227" t="s">
        <v>415</v>
      </c>
      <c r="B14" s="228">
        <v>10338.9</v>
      </c>
      <c r="C14" s="228">
        <v>5379.3</v>
      </c>
      <c r="D14" s="228">
        <v>698.7</v>
      </c>
      <c r="E14" s="228">
        <f t="shared" si="0"/>
        <v>536</v>
      </c>
      <c r="F14" s="228">
        <v>38.8</v>
      </c>
      <c r="G14" s="228">
        <v>189.9</v>
      </c>
      <c r="H14" s="228">
        <v>123.4</v>
      </c>
      <c r="I14" s="229"/>
      <c r="J14" s="228">
        <v>103.9</v>
      </c>
      <c r="K14" s="228">
        <v>80</v>
      </c>
      <c r="L14" s="228"/>
      <c r="M14" s="278">
        <f>16.9+4.09637+24.109</f>
        <v>45.10537</v>
      </c>
      <c r="N14" s="228"/>
      <c r="O14" s="228"/>
      <c r="P14" s="228"/>
      <c r="Q14" s="228"/>
      <c r="R14" s="228"/>
      <c r="S14" s="228">
        <v>459.8</v>
      </c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>
        <v>298.4</v>
      </c>
      <c r="AH14" s="296">
        <f t="shared" si="1"/>
        <v>0</v>
      </c>
      <c r="AI14" s="297"/>
      <c r="AJ14" s="297"/>
      <c r="AK14" s="224">
        <f t="shared" si="2"/>
        <v>17756.20537</v>
      </c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</row>
    <row r="15" spans="1:56" s="226" customFormat="1" ht="15.75" customHeight="1">
      <c r="A15" s="227" t="s">
        <v>416</v>
      </c>
      <c r="B15" s="228">
        <v>16337.6</v>
      </c>
      <c r="C15" s="228">
        <v>9942.5</v>
      </c>
      <c r="D15" s="228">
        <v>213.9</v>
      </c>
      <c r="E15" s="228">
        <f t="shared" si="0"/>
        <v>758.2</v>
      </c>
      <c r="F15" s="228">
        <v>569</v>
      </c>
      <c r="G15" s="228"/>
      <c r="H15" s="228">
        <v>129.6</v>
      </c>
      <c r="I15" s="229"/>
      <c r="J15" s="228"/>
      <c r="K15" s="228">
        <v>59.6</v>
      </c>
      <c r="L15" s="228"/>
      <c r="M15" s="278">
        <f>8.1+0.28196+6.199</f>
        <v>14.58096</v>
      </c>
      <c r="N15" s="228"/>
      <c r="O15" s="228"/>
      <c r="P15" s="228"/>
      <c r="Q15" s="228"/>
      <c r="R15" s="228"/>
      <c r="S15" s="228">
        <v>875.9</v>
      </c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>
        <v>1139.6</v>
      </c>
      <c r="AH15" s="296">
        <f t="shared" si="1"/>
        <v>107.7</v>
      </c>
      <c r="AI15" s="297">
        <v>107.7</v>
      </c>
      <c r="AJ15" s="297"/>
      <c r="AK15" s="224">
        <f t="shared" si="2"/>
        <v>29389.98096</v>
      </c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</row>
    <row r="16" spans="1:56" s="226" customFormat="1" ht="15.75" customHeight="1">
      <c r="A16" s="227" t="s">
        <v>417</v>
      </c>
      <c r="B16" s="228">
        <v>10063.9</v>
      </c>
      <c r="C16" s="228">
        <v>4063</v>
      </c>
      <c r="D16" s="228">
        <v>170.5</v>
      </c>
      <c r="E16" s="228">
        <f t="shared" si="0"/>
        <v>231.40000000000003</v>
      </c>
      <c r="F16" s="228">
        <v>93.2</v>
      </c>
      <c r="G16" s="228"/>
      <c r="H16" s="228">
        <v>96.4</v>
      </c>
      <c r="I16" s="229"/>
      <c r="J16" s="228"/>
      <c r="K16" s="228">
        <v>41.8</v>
      </c>
      <c r="L16" s="228"/>
      <c r="M16" s="278">
        <f>9.1+0.3488+5.375</f>
        <v>14.8238</v>
      </c>
      <c r="N16" s="228"/>
      <c r="O16" s="228"/>
      <c r="P16" s="228"/>
      <c r="Q16" s="228"/>
      <c r="R16" s="228"/>
      <c r="S16" s="228">
        <v>355.4</v>
      </c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>
        <v>1112</v>
      </c>
      <c r="AH16" s="296">
        <f t="shared" si="1"/>
        <v>0</v>
      </c>
      <c r="AI16" s="297"/>
      <c r="AJ16" s="297"/>
      <c r="AK16" s="224">
        <f t="shared" si="2"/>
        <v>16011.023799999999</v>
      </c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</row>
    <row r="17" spans="1:56" s="226" customFormat="1" ht="15.75" customHeight="1">
      <c r="A17" s="227" t="s">
        <v>418</v>
      </c>
      <c r="B17" s="228">
        <v>11157.8</v>
      </c>
      <c r="C17" s="228">
        <v>3486</v>
      </c>
      <c r="D17" s="228">
        <v>122.1</v>
      </c>
      <c r="E17" s="228">
        <f t="shared" si="0"/>
        <v>299.5</v>
      </c>
      <c r="F17" s="228">
        <v>152.9</v>
      </c>
      <c r="G17" s="228"/>
      <c r="H17" s="228">
        <v>108.8</v>
      </c>
      <c r="I17" s="229"/>
      <c r="J17" s="228"/>
      <c r="K17" s="228">
        <v>37.8</v>
      </c>
      <c r="L17" s="228"/>
      <c r="M17" s="278"/>
      <c r="N17" s="228"/>
      <c r="O17" s="228"/>
      <c r="P17" s="228"/>
      <c r="Q17" s="228"/>
      <c r="R17" s="228"/>
      <c r="S17" s="228">
        <v>643.7</v>
      </c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>
        <v>2270.2</v>
      </c>
      <c r="AH17" s="296">
        <f t="shared" si="1"/>
        <v>323</v>
      </c>
      <c r="AI17" s="297">
        <v>215.3</v>
      </c>
      <c r="AJ17" s="297">
        <v>107.7</v>
      </c>
      <c r="AK17" s="224">
        <f t="shared" si="2"/>
        <v>18302.3</v>
      </c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</row>
    <row r="18" spans="1:56" s="226" customFormat="1" ht="15.75" customHeight="1">
      <c r="A18" s="227" t="s">
        <v>419</v>
      </c>
      <c r="B18" s="228">
        <v>4198.9</v>
      </c>
      <c r="C18" s="228">
        <v>5995.8</v>
      </c>
      <c r="D18" s="228">
        <v>8.8</v>
      </c>
      <c r="E18" s="228">
        <f t="shared" si="0"/>
        <v>205.9</v>
      </c>
      <c r="F18" s="228">
        <v>77.4</v>
      </c>
      <c r="G18" s="228"/>
      <c r="H18" s="228">
        <v>100</v>
      </c>
      <c r="I18" s="229"/>
      <c r="J18" s="228"/>
      <c r="K18" s="228">
        <v>28.5</v>
      </c>
      <c r="L18" s="228"/>
      <c r="M18" s="278">
        <f>22+1.0426+15.84+6.729</f>
        <v>45.611599999999996</v>
      </c>
      <c r="N18" s="228"/>
      <c r="O18" s="228"/>
      <c r="P18" s="228"/>
      <c r="Q18" s="228"/>
      <c r="R18" s="228"/>
      <c r="S18" s="228">
        <v>170.5</v>
      </c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>
        <v>283.1</v>
      </c>
      <c r="AH18" s="296">
        <f t="shared" si="1"/>
        <v>0</v>
      </c>
      <c r="AI18" s="297"/>
      <c r="AJ18" s="297"/>
      <c r="AK18" s="224">
        <f t="shared" si="2"/>
        <v>10908.6116</v>
      </c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</row>
    <row r="19" spans="1:56" s="226" customFormat="1" ht="15.75" customHeight="1">
      <c r="A19" s="227" t="s">
        <v>420</v>
      </c>
      <c r="B19" s="228">
        <v>133214.5</v>
      </c>
      <c r="C19" s="228">
        <v>121665.4</v>
      </c>
      <c r="D19" s="228">
        <v>3864.9</v>
      </c>
      <c r="E19" s="228">
        <f t="shared" si="0"/>
        <v>34079.700000000004</v>
      </c>
      <c r="F19" s="228">
        <v>29189.4</v>
      </c>
      <c r="G19" s="228"/>
      <c r="H19" s="228">
        <v>3633.8</v>
      </c>
      <c r="I19" s="229">
        <v>563.2</v>
      </c>
      <c r="J19" s="228"/>
      <c r="K19" s="228">
        <v>693.3</v>
      </c>
      <c r="L19" s="228">
        <v>500</v>
      </c>
      <c r="M19" s="278">
        <f>305.7+5.76979+234.599+54.464</f>
        <v>600.53279</v>
      </c>
      <c r="N19" s="228"/>
      <c r="O19" s="228"/>
      <c r="P19" s="228">
        <v>1000</v>
      </c>
      <c r="Q19" s="228"/>
      <c r="R19" s="228"/>
      <c r="S19" s="228">
        <v>6969.9</v>
      </c>
      <c r="T19" s="228"/>
      <c r="U19" s="228"/>
      <c r="V19" s="228"/>
      <c r="W19" s="228"/>
      <c r="X19" s="228">
        <v>14173</v>
      </c>
      <c r="Y19" s="228">
        <v>67200</v>
      </c>
      <c r="Z19" s="228"/>
      <c r="AA19" s="228"/>
      <c r="AB19" s="228"/>
      <c r="AC19" s="228"/>
      <c r="AD19" s="228"/>
      <c r="AE19" s="228"/>
      <c r="AF19" s="228"/>
      <c r="AG19" s="228">
        <v>261.4</v>
      </c>
      <c r="AH19" s="296">
        <f t="shared" si="1"/>
        <v>0</v>
      </c>
      <c r="AI19" s="297"/>
      <c r="AJ19" s="297"/>
      <c r="AK19" s="224">
        <f t="shared" si="2"/>
        <v>383529.33279</v>
      </c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</row>
    <row r="20" spans="1:56" s="226" customFormat="1" ht="15.75" customHeight="1">
      <c r="A20" s="227" t="s">
        <v>421</v>
      </c>
      <c r="B20" s="228">
        <v>17353.3</v>
      </c>
      <c r="C20" s="228">
        <v>13228.1</v>
      </c>
      <c r="D20" s="228">
        <v>250.4</v>
      </c>
      <c r="E20" s="228">
        <f t="shared" si="0"/>
        <v>2014.1</v>
      </c>
      <c r="F20" s="228">
        <v>1715.6</v>
      </c>
      <c r="G20" s="228"/>
      <c r="H20" s="228">
        <v>214.6</v>
      </c>
      <c r="I20" s="229"/>
      <c r="J20" s="228"/>
      <c r="K20" s="228">
        <v>83.9</v>
      </c>
      <c r="L20" s="228"/>
      <c r="M20" s="278">
        <f>47.2+8+107.737+17.696</f>
        <v>180.633</v>
      </c>
      <c r="N20" s="228"/>
      <c r="O20" s="228"/>
      <c r="P20" s="228"/>
      <c r="Q20" s="228"/>
      <c r="R20" s="228"/>
      <c r="S20" s="228">
        <v>426.8</v>
      </c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>
        <v>363.2</v>
      </c>
      <c r="AH20" s="296">
        <f t="shared" si="1"/>
        <v>0</v>
      </c>
      <c r="AI20" s="297"/>
      <c r="AJ20" s="297"/>
      <c r="AK20" s="224">
        <f t="shared" si="2"/>
        <v>33816.532999999996</v>
      </c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</row>
    <row r="21" spans="1:56" s="226" customFormat="1" ht="15.75" customHeight="1">
      <c r="A21" s="227" t="s">
        <v>422</v>
      </c>
      <c r="B21" s="228">
        <v>26928.4</v>
      </c>
      <c r="C21" s="228">
        <v>25585.6</v>
      </c>
      <c r="D21" s="228">
        <v>500.8</v>
      </c>
      <c r="E21" s="228">
        <f t="shared" si="0"/>
        <v>4079.2999999999997</v>
      </c>
      <c r="F21" s="228">
        <v>3585.1</v>
      </c>
      <c r="G21" s="228"/>
      <c r="H21" s="228">
        <v>413.2</v>
      </c>
      <c r="I21" s="229"/>
      <c r="J21" s="228"/>
      <c r="K21" s="228">
        <v>81</v>
      </c>
      <c r="L21" s="228"/>
      <c r="M21" s="278">
        <f>94.5+9+130.025</f>
        <v>233.525</v>
      </c>
      <c r="N21" s="228"/>
      <c r="O21" s="228"/>
      <c r="P21" s="228">
        <v>4000</v>
      </c>
      <c r="Q21" s="228"/>
      <c r="R21" s="228"/>
      <c r="S21" s="228">
        <v>1125.3</v>
      </c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>
        <v>577.6</v>
      </c>
      <c r="AH21" s="296">
        <f t="shared" si="1"/>
        <v>0</v>
      </c>
      <c r="AI21" s="297"/>
      <c r="AJ21" s="297"/>
      <c r="AK21" s="224">
        <f t="shared" si="2"/>
        <v>63030.525</v>
      </c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</row>
    <row r="22" spans="1:56" s="226" customFormat="1" ht="15.75" customHeight="1">
      <c r="A22" s="227" t="s">
        <v>423</v>
      </c>
      <c r="B22" s="228">
        <v>2290</v>
      </c>
      <c r="C22" s="228">
        <v>1190.4</v>
      </c>
      <c r="D22" s="228">
        <v>12.1</v>
      </c>
      <c r="E22" s="228">
        <f t="shared" si="0"/>
        <v>50.5</v>
      </c>
      <c r="F22" s="228">
        <v>24.8</v>
      </c>
      <c r="G22" s="228"/>
      <c r="H22" s="228">
        <v>20.5</v>
      </c>
      <c r="I22" s="229"/>
      <c r="J22" s="228"/>
      <c r="K22" s="228">
        <v>5.2</v>
      </c>
      <c r="L22" s="228"/>
      <c r="M22" s="278">
        <f>8.8+1.48608+18.844</f>
        <v>29.13008</v>
      </c>
      <c r="N22" s="228"/>
      <c r="O22" s="228"/>
      <c r="P22" s="228"/>
      <c r="Q22" s="228"/>
      <c r="R22" s="228"/>
      <c r="S22" s="228">
        <v>110.7</v>
      </c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>
        <v>37.7</v>
      </c>
      <c r="AH22" s="296">
        <f t="shared" si="1"/>
        <v>107.7</v>
      </c>
      <c r="AI22" s="297">
        <v>107.7</v>
      </c>
      <c r="AJ22" s="297"/>
      <c r="AK22" s="224">
        <f t="shared" si="2"/>
        <v>3828.2300800000003</v>
      </c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</row>
    <row r="23" spans="1:56" s="226" customFormat="1" ht="15.75" customHeight="1">
      <c r="A23" s="227" t="s">
        <v>172</v>
      </c>
      <c r="B23" s="228">
        <v>4679.1</v>
      </c>
      <c r="C23" s="228">
        <v>1771.2</v>
      </c>
      <c r="D23" s="228">
        <v>41.2</v>
      </c>
      <c r="E23" s="228">
        <f t="shared" si="0"/>
        <v>62.599999999999994</v>
      </c>
      <c r="F23" s="228">
        <v>0</v>
      </c>
      <c r="G23" s="228"/>
      <c r="H23" s="228">
        <v>48.9</v>
      </c>
      <c r="I23" s="229"/>
      <c r="J23" s="228"/>
      <c r="K23" s="228">
        <v>13.7</v>
      </c>
      <c r="L23" s="228"/>
      <c r="M23" s="278">
        <f>31.1+1.42848+18.182</f>
        <v>50.710480000000004</v>
      </c>
      <c r="N23" s="228"/>
      <c r="O23" s="228"/>
      <c r="P23" s="228"/>
      <c r="Q23" s="228"/>
      <c r="R23" s="228"/>
      <c r="S23" s="228">
        <v>207.6</v>
      </c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>
        <v>310.9</v>
      </c>
      <c r="AH23" s="296">
        <f t="shared" si="1"/>
        <v>107.7</v>
      </c>
      <c r="AI23" s="297">
        <v>107.7</v>
      </c>
      <c r="AJ23" s="297"/>
      <c r="AK23" s="224">
        <f t="shared" si="2"/>
        <v>7231.010480000001</v>
      </c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</row>
    <row r="24" spans="1:56" s="226" customFormat="1" ht="15.75" customHeight="1">
      <c r="A24" s="227" t="s">
        <v>424</v>
      </c>
      <c r="B24" s="228">
        <v>17707.6</v>
      </c>
      <c r="C24" s="41">
        <v>20865.9</v>
      </c>
      <c r="D24" s="228">
        <v>106.5</v>
      </c>
      <c r="E24" s="228">
        <f t="shared" si="0"/>
        <v>1039.5</v>
      </c>
      <c r="F24" s="228">
        <v>661.2</v>
      </c>
      <c r="G24" s="228"/>
      <c r="H24" s="228">
        <v>301.2</v>
      </c>
      <c r="I24" s="229"/>
      <c r="J24" s="228"/>
      <c r="K24" s="228">
        <v>77.1</v>
      </c>
      <c r="L24" s="228"/>
      <c r="M24" s="278">
        <f>18.2+3+50.252</f>
        <v>71.452</v>
      </c>
      <c r="N24" s="228"/>
      <c r="O24" s="228"/>
      <c r="P24" s="228"/>
      <c r="Q24" s="228"/>
      <c r="R24" s="228"/>
      <c r="S24" s="228">
        <v>802.6</v>
      </c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>
        <v>5661.2</v>
      </c>
      <c r="AH24" s="296">
        <f t="shared" si="1"/>
        <v>323</v>
      </c>
      <c r="AI24" s="297"/>
      <c r="AJ24" s="297">
        <v>323</v>
      </c>
      <c r="AK24" s="224">
        <f t="shared" si="2"/>
        <v>46577.752</v>
      </c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</row>
    <row r="25" spans="1:56" s="226" customFormat="1" ht="15.75" customHeight="1">
      <c r="A25" s="227" t="s">
        <v>425</v>
      </c>
      <c r="B25" s="228">
        <v>46714</v>
      </c>
      <c r="C25" s="228">
        <v>39127.6</v>
      </c>
      <c r="D25" s="228">
        <v>464.9</v>
      </c>
      <c r="E25" s="228">
        <f t="shared" si="0"/>
        <v>11073.7</v>
      </c>
      <c r="F25" s="228">
        <v>10018.2</v>
      </c>
      <c r="G25" s="228"/>
      <c r="H25" s="228">
        <v>842.7</v>
      </c>
      <c r="I25" s="229"/>
      <c r="J25" s="228"/>
      <c r="K25" s="228">
        <v>212.8</v>
      </c>
      <c r="L25" s="228"/>
      <c r="M25" s="278">
        <f>30.1+1.4355+17.346</f>
        <v>48.8815</v>
      </c>
      <c r="N25" s="228"/>
      <c r="O25" s="228"/>
      <c r="P25" s="228"/>
      <c r="Q25" s="228"/>
      <c r="R25" s="228"/>
      <c r="S25" s="228">
        <v>1272.2</v>
      </c>
      <c r="T25" s="228"/>
      <c r="U25" s="228"/>
      <c r="V25" s="228"/>
      <c r="W25" s="228"/>
      <c r="X25" s="228">
        <v>1800</v>
      </c>
      <c r="Y25" s="228"/>
      <c r="Z25" s="228"/>
      <c r="AA25" s="228"/>
      <c r="AB25" s="228"/>
      <c r="AC25" s="228"/>
      <c r="AD25" s="228"/>
      <c r="AE25" s="228"/>
      <c r="AF25" s="228"/>
      <c r="AG25" s="228">
        <v>528.9</v>
      </c>
      <c r="AH25" s="296">
        <f t="shared" si="1"/>
        <v>0</v>
      </c>
      <c r="AI25" s="297"/>
      <c r="AJ25" s="297"/>
      <c r="AK25" s="224">
        <f t="shared" si="2"/>
        <v>101030.1815</v>
      </c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</row>
    <row r="26" spans="1:56" s="226" customFormat="1" ht="15.75" customHeight="1">
      <c r="A26" s="227" t="s">
        <v>426</v>
      </c>
      <c r="B26" s="228">
        <v>11844.4</v>
      </c>
      <c r="C26" s="228">
        <v>6709.1</v>
      </c>
      <c r="D26" s="228">
        <v>461.1</v>
      </c>
      <c r="E26" s="228">
        <f t="shared" si="0"/>
        <v>496.1</v>
      </c>
      <c r="F26" s="228">
        <v>217.8</v>
      </c>
      <c r="G26" s="228"/>
      <c r="H26" s="228">
        <v>223.9</v>
      </c>
      <c r="I26" s="229"/>
      <c r="J26" s="228"/>
      <c r="K26" s="228">
        <v>54.4</v>
      </c>
      <c r="L26" s="228"/>
      <c r="M26" s="278">
        <f>11.7+0.5534+21.33</f>
        <v>33.5834</v>
      </c>
      <c r="N26" s="228"/>
      <c r="O26" s="228"/>
      <c r="P26" s="228"/>
      <c r="Q26" s="228"/>
      <c r="R26" s="228"/>
      <c r="S26" s="228">
        <v>695.9</v>
      </c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>
        <v>268.6</v>
      </c>
      <c r="AH26" s="296">
        <f t="shared" si="1"/>
        <v>323</v>
      </c>
      <c r="AI26" s="297">
        <v>107.7</v>
      </c>
      <c r="AJ26" s="297">
        <v>215.3</v>
      </c>
      <c r="AK26" s="224">
        <f t="shared" si="2"/>
        <v>20831.7834</v>
      </c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</row>
    <row r="27" spans="1:56" s="226" customFormat="1" ht="15.75" customHeight="1">
      <c r="A27" s="227" t="s">
        <v>427</v>
      </c>
      <c r="B27" s="228">
        <v>12127.4</v>
      </c>
      <c r="C27" s="228">
        <v>3958.9</v>
      </c>
      <c r="D27" s="228">
        <v>1614.9</v>
      </c>
      <c r="E27" s="228">
        <f t="shared" si="0"/>
        <v>2764.3</v>
      </c>
      <c r="F27" s="228">
        <v>66.4</v>
      </c>
      <c r="G27" s="228">
        <v>1898.9</v>
      </c>
      <c r="H27" s="228">
        <v>132.1</v>
      </c>
      <c r="I27" s="229"/>
      <c r="J27" s="228">
        <v>592.6</v>
      </c>
      <c r="K27" s="228">
        <v>74.3</v>
      </c>
      <c r="L27" s="228"/>
      <c r="M27" s="278">
        <f>8.8+0.41608+17.803</f>
        <v>27.019080000000002</v>
      </c>
      <c r="N27" s="228"/>
      <c r="O27" s="228"/>
      <c r="P27" s="228"/>
      <c r="Q27" s="228"/>
      <c r="R27" s="228"/>
      <c r="S27" s="228">
        <v>697.8</v>
      </c>
      <c r="T27" s="228"/>
      <c r="U27" s="228"/>
      <c r="V27" s="228"/>
      <c r="W27" s="228">
        <v>28.8</v>
      </c>
      <c r="X27" s="228"/>
      <c r="Y27" s="228"/>
      <c r="Z27" s="228"/>
      <c r="AA27" s="228"/>
      <c r="AB27" s="228"/>
      <c r="AC27" s="228"/>
      <c r="AD27" s="228"/>
      <c r="AE27" s="228"/>
      <c r="AF27" s="228"/>
      <c r="AG27" s="228">
        <v>5801.5</v>
      </c>
      <c r="AH27" s="296">
        <f t="shared" si="1"/>
        <v>0</v>
      </c>
      <c r="AI27" s="297"/>
      <c r="AJ27" s="297"/>
      <c r="AK27" s="224">
        <f t="shared" si="2"/>
        <v>27020.619079999997</v>
      </c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</row>
    <row r="28" spans="1:56" s="226" customFormat="1" ht="15.75" customHeight="1">
      <c r="A28" s="227" t="s">
        <v>428</v>
      </c>
      <c r="B28" s="228">
        <v>63889.5</v>
      </c>
      <c r="C28" s="228">
        <v>50916.5</v>
      </c>
      <c r="D28" s="228">
        <v>1680.5</v>
      </c>
      <c r="E28" s="228">
        <f t="shared" si="0"/>
        <v>3249.8</v>
      </c>
      <c r="F28" s="228">
        <v>2388.5</v>
      </c>
      <c r="G28" s="228"/>
      <c r="H28" s="228">
        <v>632.8</v>
      </c>
      <c r="I28" s="229"/>
      <c r="J28" s="228"/>
      <c r="K28" s="228">
        <v>228.5</v>
      </c>
      <c r="L28" s="228"/>
      <c r="M28" s="278">
        <f>272.4+3+144.915</f>
        <v>420.31499999999994</v>
      </c>
      <c r="N28" s="228"/>
      <c r="O28" s="228"/>
      <c r="P28" s="228"/>
      <c r="Q28" s="228"/>
      <c r="R28" s="228"/>
      <c r="S28" s="228">
        <v>2174.7</v>
      </c>
      <c r="T28" s="228"/>
      <c r="U28" s="228"/>
      <c r="V28" s="228"/>
      <c r="W28" s="228"/>
      <c r="X28" s="228">
        <v>600</v>
      </c>
      <c r="Y28" s="228"/>
      <c r="Z28" s="228"/>
      <c r="AA28" s="228"/>
      <c r="AB28" s="228"/>
      <c r="AC28" s="228"/>
      <c r="AD28" s="228"/>
      <c r="AE28" s="228"/>
      <c r="AF28" s="228"/>
      <c r="AG28" s="228">
        <v>1523.2</v>
      </c>
      <c r="AH28" s="296">
        <f t="shared" si="1"/>
        <v>0</v>
      </c>
      <c r="AI28" s="297"/>
      <c r="AJ28" s="297"/>
      <c r="AK28" s="224">
        <f t="shared" si="2"/>
        <v>124454.515</v>
      </c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</row>
    <row r="29" spans="1:56" s="226" customFormat="1" ht="15.75" customHeight="1">
      <c r="A29" s="227" t="s">
        <v>429</v>
      </c>
      <c r="B29" s="228">
        <v>54462.6</v>
      </c>
      <c r="C29" s="228">
        <v>44753.7</v>
      </c>
      <c r="D29" s="228">
        <v>372</v>
      </c>
      <c r="E29" s="228">
        <f t="shared" si="0"/>
        <v>12366.699999999999</v>
      </c>
      <c r="F29" s="228">
        <v>9959.9</v>
      </c>
      <c r="G29" s="228"/>
      <c r="H29" s="228">
        <v>1873.9</v>
      </c>
      <c r="I29" s="229"/>
      <c r="J29" s="228"/>
      <c r="K29" s="228">
        <v>532.9</v>
      </c>
      <c r="L29" s="228"/>
      <c r="M29" s="278">
        <f>157.3+6+108.665</f>
        <v>271.96500000000003</v>
      </c>
      <c r="N29" s="228"/>
      <c r="O29" s="228"/>
      <c r="P29" s="228"/>
      <c r="Q29" s="228"/>
      <c r="R29" s="228"/>
      <c r="S29" s="228">
        <v>2995.4</v>
      </c>
      <c r="T29" s="228"/>
      <c r="U29" s="228"/>
      <c r="V29" s="228"/>
      <c r="W29" s="228"/>
      <c r="X29" s="228">
        <v>4667</v>
      </c>
      <c r="Y29" s="228"/>
      <c r="Z29" s="228"/>
      <c r="AA29" s="228"/>
      <c r="AB29" s="228"/>
      <c r="AC29" s="228"/>
      <c r="AD29" s="228"/>
      <c r="AE29" s="228"/>
      <c r="AF29" s="228"/>
      <c r="AG29" s="228">
        <v>2114.4</v>
      </c>
      <c r="AH29" s="296">
        <f t="shared" si="1"/>
        <v>0</v>
      </c>
      <c r="AI29" s="297"/>
      <c r="AJ29" s="297"/>
      <c r="AK29" s="224">
        <f t="shared" si="2"/>
        <v>122003.76499999998</v>
      </c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</row>
    <row r="30" spans="1:56" s="226" customFormat="1" ht="15.75" customHeight="1">
      <c r="A30" s="227" t="s">
        <v>430</v>
      </c>
      <c r="B30" s="228">
        <v>2724.2</v>
      </c>
      <c r="C30" s="228">
        <v>538.9</v>
      </c>
      <c r="D30" s="228">
        <v>32.7</v>
      </c>
      <c r="E30" s="228">
        <f t="shared" si="0"/>
        <v>70.69999999999999</v>
      </c>
      <c r="F30" s="228">
        <v>21.8</v>
      </c>
      <c r="G30" s="228"/>
      <c r="H30" s="228">
        <v>31.5</v>
      </c>
      <c r="I30" s="229"/>
      <c r="J30" s="228"/>
      <c r="K30" s="228">
        <v>17.4</v>
      </c>
      <c r="L30" s="228"/>
      <c r="M30" s="278">
        <f>9.1+0.3088+5.415</f>
        <v>14.823799999999999</v>
      </c>
      <c r="N30" s="228"/>
      <c r="O30" s="228"/>
      <c r="P30" s="228"/>
      <c r="Q30" s="228"/>
      <c r="R30" s="228"/>
      <c r="S30" s="228">
        <v>117.3</v>
      </c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>
        <v>288.8</v>
      </c>
      <c r="AH30" s="296">
        <f t="shared" si="1"/>
        <v>107.7</v>
      </c>
      <c r="AI30" s="297">
        <v>107.7</v>
      </c>
      <c r="AJ30" s="297"/>
      <c r="AK30" s="224">
        <f t="shared" si="2"/>
        <v>3895.1238</v>
      </c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</row>
    <row r="31" spans="1:56" s="226" customFormat="1" ht="15.75" customHeight="1">
      <c r="A31" s="227" t="s">
        <v>431</v>
      </c>
      <c r="B31" s="228">
        <v>8955.9</v>
      </c>
      <c r="C31" s="228">
        <v>2140.6</v>
      </c>
      <c r="D31" s="228">
        <v>327.5</v>
      </c>
      <c r="E31" s="228">
        <f t="shared" si="0"/>
        <v>370.3</v>
      </c>
      <c r="F31" s="228">
        <v>131.4</v>
      </c>
      <c r="G31" s="228"/>
      <c r="H31" s="228">
        <v>140.6</v>
      </c>
      <c r="I31" s="229"/>
      <c r="J31" s="228"/>
      <c r="K31" s="228">
        <v>98.3</v>
      </c>
      <c r="L31" s="228"/>
      <c r="M31" s="278"/>
      <c r="N31" s="228"/>
      <c r="O31" s="228"/>
      <c r="P31" s="228"/>
      <c r="Q31" s="228"/>
      <c r="R31" s="228"/>
      <c r="S31" s="228">
        <v>585.6</v>
      </c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>
        <v>5042.5</v>
      </c>
      <c r="AH31" s="296">
        <f t="shared" si="1"/>
        <v>215.4</v>
      </c>
      <c r="AI31" s="297">
        <v>215.4</v>
      </c>
      <c r="AJ31" s="297"/>
      <c r="AK31" s="224">
        <f t="shared" si="2"/>
        <v>17637.8</v>
      </c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</row>
    <row r="32" spans="1:56" s="226" customFormat="1" ht="15.75" customHeight="1">
      <c r="A32" s="227" t="s">
        <v>432</v>
      </c>
      <c r="B32" s="228">
        <v>27951.4</v>
      </c>
      <c r="C32" s="228">
        <v>26240.1</v>
      </c>
      <c r="D32" s="228">
        <v>576.6</v>
      </c>
      <c r="E32" s="228">
        <f t="shared" si="0"/>
        <v>2775.2</v>
      </c>
      <c r="F32" s="228">
        <v>2188.5</v>
      </c>
      <c r="G32" s="228"/>
      <c r="H32" s="228">
        <v>490.7</v>
      </c>
      <c r="I32" s="229"/>
      <c r="J32" s="228"/>
      <c r="K32" s="228">
        <v>96</v>
      </c>
      <c r="L32" s="228"/>
      <c r="M32" s="278">
        <f>30+6+90.385</f>
        <v>126.385</v>
      </c>
      <c r="N32" s="228"/>
      <c r="O32" s="228"/>
      <c r="P32" s="228">
        <v>500</v>
      </c>
      <c r="Q32" s="228"/>
      <c r="R32" s="228"/>
      <c r="S32" s="228">
        <v>924.3</v>
      </c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>
        <v>2073.4</v>
      </c>
      <c r="AH32" s="296">
        <f t="shared" si="1"/>
        <v>0</v>
      </c>
      <c r="AI32" s="297"/>
      <c r="AJ32" s="297"/>
      <c r="AK32" s="224">
        <f t="shared" si="2"/>
        <v>61167.385</v>
      </c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</row>
    <row r="33" spans="1:56" s="226" customFormat="1" ht="15.75" customHeight="1">
      <c r="A33" s="227" t="s">
        <v>433</v>
      </c>
      <c r="B33" s="228">
        <v>18287.7</v>
      </c>
      <c r="C33" s="228">
        <v>4355.5</v>
      </c>
      <c r="D33" s="228">
        <v>502.3</v>
      </c>
      <c r="E33" s="228">
        <f t="shared" si="0"/>
        <v>283.5</v>
      </c>
      <c r="F33" s="228">
        <v>137.3</v>
      </c>
      <c r="G33" s="228"/>
      <c r="H33" s="228">
        <v>109.5</v>
      </c>
      <c r="I33" s="229"/>
      <c r="J33" s="228"/>
      <c r="K33" s="228">
        <v>36.7</v>
      </c>
      <c r="L33" s="228"/>
      <c r="M33" s="278">
        <f>50.2+2+40.615</f>
        <v>92.815</v>
      </c>
      <c r="N33" s="228"/>
      <c r="O33" s="228"/>
      <c r="P33" s="228"/>
      <c r="Q33" s="228"/>
      <c r="R33" s="228"/>
      <c r="S33" s="228">
        <v>610.3</v>
      </c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>
        <v>836.7</v>
      </c>
      <c r="AH33" s="296">
        <f t="shared" si="1"/>
        <v>0</v>
      </c>
      <c r="AI33" s="297"/>
      <c r="AJ33" s="297"/>
      <c r="AK33" s="224">
        <f t="shared" si="2"/>
        <v>24968.815000000002</v>
      </c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</row>
    <row r="34" spans="1:56" s="226" customFormat="1" ht="15.75" customHeight="1">
      <c r="A34" s="227" t="s">
        <v>434</v>
      </c>
      <c r="B34" s="228">
        <v>19633.6</v>
      </c>
      <c r="C34" s="228">
        <v>5074.3</v>
      </c>
      <c r="D34" s="228">
        <v>2277.4</v>
      </c>
      <c r="E34" s="228">
        <f t="shared" si="0"/>
        <v>263.8</v>
      </c>
      <c r="F34" s="228">
        <v>77.7</v>
      </c>
      <c r="G34" s="228"/>
      <c r="H34" s="228">
        <v>131.4</v>
      </c>
      <c r="I34" s="229"/>
      <c r="J34" s="228"/>
      <c r="K34" s="228">
        <v>54.7</v>
      </c>
      <c r="L34" s="228"/>
      <c r="M34" s="278">
        <f>18.2+0.8174+25.16</f>
        <v>44.1774</v>
      </c>
      <c r="N34" s="228"/>
      <c r="O34" s="228"/>
      <c r="P34" s="228"/>
      <c r="Q34" s="228"/>
      <c r="R34" s="228"/>
      <c r="S34" s="228">
        <v>568.4</v>
      </c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>
        <v>1994.7</v>
      </c>
      <c r="AH34" s="296">
        <f t="shared" si="1"/>
        <v>0</v>
      </c>
      <c r="AI34" s="297"/>
      <c r="AJ34" s="297"/>
      <c r="AK34" s="224">
        <f t="shared" si="2"/>
        <v>29856.377399999998</v>
      </c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</row>
    <row r="35" spans="1:56" s="226" customFormat="1" ht="15.75" customHeight="1">
      <c r="A35" s="227" t="s">
        <v>435</v>
      </c>
      <c r="B35" s="228">
        <v>2757.7</v>
      </c>
      <c r="C35" s="228">
        <v>2250.1</v>
      </c>
      <c r="D35" s="228">
        <v>0</v>
      </c>
      <c r="E35" s="228">
        <f t="shared" si="0"/>
        <v>98.19999999999999</v>
      </c>
      <c r="F35" s="228">
        <v>72.1</v>
      </c>
      <c r="G35" s="228"/>
      <c r="H35" s="228">
        <v>17.6</v>
      </c>
      <c r="I35" s="229"/>
      <c r="J35" s="228"/>
      <c r="K35" s="228">
        <v>8.5</v>
      </c>
      <c r="L35" s="228"/>
      <c r="M35" s="278"/>
      <c r="N35" s="228"/>
      <c r="O35" s="228"/>
      <c r="P35" s="228">
        <v>4000</v>
      </c>
      <c r="Q35" s="228"/>
      <c r="R35" s="228"/>
      <c r="S35" s="228">
        <v>228.2</v>
      </c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>
        <v>1657.6</v>
      </c>
      <c r="AH35" s="296">
        <f t="shared" si="1"/>
        <v>107.7</v>
      </c>
      <c r="AI35" s="297">
        <v>107.7</v>
      </c>
      <c r="AJ35" s="297"/>
      <c r="AK35" s="224">
        <f t="shared" si="2"/>
        <v>11099.5</v>
      </c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</row>
    <row r="36" spans="1:56" s="226" customFormat="1" ht="15.75" customHeight="1">
      <c r="A36" s="227" t="s">
        <v>436</v>
      </c>
      <c r="B36" s="228">
        <v>21783.6</v>
      </c>
      <c r="C36" s="228">
        <v>17945</v>
      </c>
      <c r="D36" s="228">
        <v>499.3</v>
      </c>
      <c r="E36" s="228">
        <f t="shared" si="0"/>
        <v>1784.6</v>
      </c>
      <c r="F36" s="228">
        <v>1477.5</v>
      </c>
      <c r="G36" s="228"/>
      <c r="H36" s="228">
        <v>272.5</v>
      </c>
      <c r="I36" s="229"/>
      <c r="J36" s="228"/>
      <c r="K36" s="228">
        <v>34.6</v>
      </c>
      <c r="L36" s="228"/>
      <c r="M36" s="278">
        <f>109.2+1+65.089</f>
        <v>175.289</v>
      </c>
      <c r="N36" s="228"/>
      <c r="O36" s="228"/>
      <c r="P36" s="228">
        <v>4000</v>
      </c>
      <c r="Q36" s="228"/>
      <c r="R36" s="228"/>
      <c r="S36" s="228">
        <v>1023.1</v>
      </c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>
        <v>458.3</v>
      </c>
      <c r="AH36" s="296">
        <f t="shared" si="1"/>
        <v>0</v>
      </c>
      <c r="AI36" s="297"/>
      <c r="AJ36" s="297"/>
      <c r="AK36" s="224">
        <f t="shared" si="2"/>
        <v>47669.189</v>
      </c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</row>
    <row r="37" spans="1:56" s="226" customFormat="1" ht="15.75" customHeight="1">
      <c r="A37" s="227" t="s">
        <v>437</v>
      </c>
      <c r="B37" s="228">
        <v>14218.7</v>
      </c>
      <c r="C37" s="228">
        <v>4475.1</v>
      </c>
      <c r="D37" s="228">
        <v>819.3</v>
      </c>
      <c r="E37" s="228">
        <f t="shared" si="0"/>
        <v>341.8</v>
      </c>
      <c r="F37" s="228">
        <v>216.1</v>
      </c>
      <c r="G37" s="228"/>
      <c r="H37" s="228">
        <v>85.2</v>
      </c>
      <c r="I37" s="229"/>
      <c r="J37" s="228"/>
      <c r="K37" s="228">
        <v>40.5</v>
      </c>
      <c r="L37" s="228"/>
      <c r="M37" s="278">
        <f>11.7+2.76654+36.406</f>
        <v>50.87254</v>
      </c>
      <c r="N37" s="228"/>
      <c r="O37" s="228"/>
      <c r="P37" s="228"/>
      <c r="Q37" s="228"/>
      <c r="R37" s="228"/>
      <c r="S37" s="228">
        <v>507.4</v>
      </c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>
        <v>1665.9</v>
      </c>
      <c r="AH37" s="296">
        <f t="shared" si="1"/>
        <v>0</v>
      </c>
      <c r="AI37" s="297"/>
      <c r="AJ37" s="297"/>
      <c r="AK37" s="224">
        <f t="shared" si="2"/>
        <v>22079.07254</v>
      </c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</row>
    <row r="38" spans="1:56" s="226" customFormat="1" ht="15.75" customHeight="1">
      <c r="A38" s="227" t="s">
        <v>438</v>
      </c>
      <c r="B38" s="228">
        <v>5221.8</v>
      </c>
      <c r="C38" s="228">
        <v>4842.7</v>
      </c>
      <c r="D38" s="228">
        <v>205.8</v>
      </c>
      <c r="E38" s="228">
        <f t="shared" si="0"/>
        <v>2737.6000000000004</v>
      </c>
      <c r="F38" s="228">
        <v>160.4</v>
      </c>
      <c r="G38" s="228">
        <v>818.8</v>
      </c>
      <c r="H38" s="228">
        <v>170.8</v>
      </c>
      <c r="I38" s="229"/>
      <c r="J38" s="228">
        <v>1548.9</v>
      </c>
      <c r="K38" s="228">
        <v>38.7</v>
      </c>
      <c r="L38" s="228"/>
      <c r="M38" s="278">
        <f>32.8+1.24802+18.582+8.025</f>
        <v>60.65501999999999</v>
      </c>
      <c r="N38" s="228"/>
      <c r="O38" s="228"/>
      <c r="P38" s="228"/>
      <c r="Q38" s="228"/>
      <c r="R38" s="228"/>
      <c r="S38" s="228">
        <v>248.6</v>
      </c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>
        <v>77.3</v>
      </c>
      <c r="AH38" s="296">
        <f t="shared" si="1"/>
        <v>215.4</v>
      </c>
      <c r="AI38" s="297"/>
      <c r="AJ38" s="297">
        <v>215.4</v>
      </c>
      <c r="AK38" s="224">
        <f t="shared" si="2"/>
        <v>13609.855019999999</v>
      </c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</row>
    <row r="39" spans="1:56" s="226" customFormat="1" ht="15.75" customHeight="1">
      <c r="A39" s="227" t="s">
        <v>439</v>
      </c>
      <c r="B39" s="228">
        <v>7167.4</v>
      </c>
      <c r="C39" s="228">
        <v>1061.4</v>
      </c>
      <c r="D39" s="228">
        <v>511.6</v>
      </c>
      <c r="E39" s="228">
        <f t="shared" si="0"/>
        <v>53.599999999999994</v>
      </c>
      <c r="F39" s="228">
        <v>13.1</v>
      </c>
      <c r="G39" s="228"/>
      <c r="H39" s="228">
        <v>24.8</v>
      </c>
      <c r="I39" s="229"/>
      <c r="J39" s="228"/>
      <c r="K39" s="228">
        <v>15.7</v>
      </c>
      <c r="L39" s="228"/>
      <c r="M39" s="278">
        <f>19.7+0.99677+12.362+10.378</f>
        <v>43.43677</v>
      </c>
      <c r="N39" s="228"/>
      <c r="O39" s="228"/>
      <c r="P39" s="228"/>
      <c r="Q39" s="228"/>
      <c r="R39" s="228"/>
      <c r="S39" s="228">
        <v>425.8</v>
      </c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>
        <v>1745.7</v>
      </c>
      <c r="AH39" s="296">
        <f t="shared" si="1"/>
        <v>215.4</v>
      </c>
      <c r="AI39" s="297">
        <v>215.4</v>
      </c>
      <c r="AJ39" s="297"/>
      <c r="AK39" s="224">
        <f t="shared" si="2"/>
        <v>11224.33677</v>
      </c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</row>
    <row r="40" spans="1:56" s="226" customFormat="1" ht="15.75" customHeight="1">
      <c r="A40" s="227" t="s">
        <v>440</v>
      </c>
      <c r="B40" s="228">
        <v>14458.5</v>
      </c>
      <c r="C40" s="228">
        <v>8664.7</v>
      </c>
      <c r="D40" s="228">
        <v>856.2</v>
      </c>
      <c r="E40" s="228">
        <f t="shared" si="0"/>
        <v>278.59999999999997</v>
      </c>
      <c r="F40" s="228">
        <v>122.3</v>
      </c>
      <c r="G40" s="228"/>
      <c r="H40" s="228">
        <v>151.1</v>
      </c>
      <c r="I40" s="229"/>
      <c r="J40" s="228"/>
      <c r="K40" s="228">
        <v>5.2</v>
      </c>
      <c r="L40" s="228"/>
      <c r="M40" s="278">
        <f>9.1+0.3088+5.415</f>
        <v>14.823799999999999</v>
      </c>
      <c r="N40" s="228"/>
      <c r="O40" s="228"/>
      <c r="P40" s="228"/>
      <c r="Q40" s="228"/>
      <c r="R40" s="228"/>
      <c r="S40" s="228">
        <v>372.5</v>
      </c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>
        <v>1270.2</v>
      </c>
      <c r="AH40" s="296">
        <f t="shared" si="1"/>
        <v>323.1</v>
      </c>
      <c r="AI40" s="297">
        <v>323.1</v>
      </c>
      <c r="AJ40" s="297"/>
      <c r="AK40" s="224">
        <f t="shared" si="2"/>
        <v>26238.6238</v>
      </c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</row>
    <row r="41" spans="1:56" s="226" customFormat="1" ht="15.75" customHeight="1">
      <c r="A41" s="227" t="s">
        <v>441</v>
      </c>
      <c r="B41" s="228">
        <v>12264.9</v>
      </c>
      <c r="C41" s="228">
        <v>6603.6</v>
      </c>
      <c r="D41" s="228">
        <v>697.1</v>
      </c>
      <c r="E41" s="228">
        <f t="shared" si="0"/>
        <v>208.2</v>
      </c>
      <c r="F41" s="228">
        <v>73.7</v>
      </c>
      <c r="G41" s="228"/>
      <c r="H41" s="228">
        <v>87</v>
      </c>
      <c r="I41" s="229"/>
      <c r="J41" s="228"/>
      <c r="K41" s="228">
        <v>47.5</v>
      </c>
      <c r="L41" s="228"/>
      <c r="M41" s="278">
        <f>11.7+0.4434+6.998+16.966</f>
        <v>36.1074</v>
      </c>
      <c r="N41" s="228"/>
      <c r="O41" s="228"/>
      <c r="P41" s="228"/>
      <c r="Q41" s="228"/>
      <c r="R41" s="228"/>
      <c r="S41" s="228">
        <v>594.6</v>
      </c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>
        <v>2225.7</v>
      </c>
      <c r="AH41" s="296">
        <f t="shared" si="1"/>
        <v>0</v>
      </c>
      <c r="AI41" s="297"/>
      <c r="AJ41" s="297"/>
      <c r="AK41" s="224">
        <f t="shared" si="2"/>
        <v>22630.2074</v>
      </c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</row>
    <row r="42" spans="1:56" s="226" customFormat="1" ht="15.75" customHeight="1">
      <c r="A42" s="227" t="s">
        <v>442</v>
      </c>
      <c r="B42" s="228">
        <v>12441.2</v>
      </c>
      <c r="C42" s="228">
        <v>1202.9</v>
      </c>
      <c r="D42" s="228">
        <v>2219.6</v>
      </c>
      <c r="E42" s="228">
        <f t="shared" si="0"/>
        <v>221.1</v>
      </c>
      <c r="F42" s="228">
        <v>43.9</v>
      </c>
      <c r="G42" s="228"/>
      <c r="H42" s="228">
        <v>127.7</v>
      </c>
      <c r="I42" s="229"/>
      <c r="J42" s="228"/>
      <c r="K42" s="228">
        <v>49.5</v>
      </c>
      <c r="L42" s="228"/>
      <c r="M42" s="278">
        <f>9.1+5+31.142+6.849</f>
        <v>52.090999999999994</v>
      </c>
      <c r="N42" s="228"/>
      <c r="O42" s="228"/>
      <c r="P42" s="228"/>
      <c r="Q42" s="228"/>
      <c r="R42" s="228"/>
      <c r="S42" s="228">
        <v>657.3</v>
      </c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>
        <v>1784</v>
      </c>
      <c r="AH42" s="296">
        <f t="shared" si="1"/>
        <v>323.1</v>
      </c>
      <c r="AI42" s="297">
        <v>323.1</v>
      </c>
      <c r="AJ42" s="297"/>
      <c r="AK42" s="224">
        <f t="shared" si="2"/>
        <v>18901.290999999997</v>
      </c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</row>
    <row r="43" spans="1:56" s="226" customFormat="1" ht="15.75" customHeight="1">
      <c r="A43" s="227" t="s">
        <v>443</v>
      </c>
      <c r="B43" s="228">
        <v>15730.3</v>
      </c>
      <c r="C43" s="228">
        <v>8774.9</v>
      </c>
      <c r="D43" s="228">
        <v>1698.8</v>
      </c>
      <c r="E43" s="228">
        <f t="shared" si="0"/>
        <v>371.30000000000007</v>
      </c>
      <c r="F43" s="228">
        <v>115.9</v>
      </c>
      <c r="G43" s="228"/>
      <c r="H43" s="228">
        <v>185.8</v>
      </c>
      <c r="I43" s="229"/>
      <c r="J43" s="228"/>
      <c r="K43" s="228">
        <v>69.6</v>
      </c>
      <c r="L43" s="228"/>
      <c r="M43" s="278">
        <f>27.8+1.2446+16.326+28.647</f>
        <v>74.01759999999999</v>
      </c>
      <c r="N43" s="228"/>
      <c r="O43" s="228"/>
      <c r="P43" s="228"/>
      <c r="Q43" s="228"/>
      <c r="R43" s="228"/>
      <c r="S43" s="228">
        <v>1187.3</v>
      </c>
      <c r="T43" s="228"/>
      <c r="U43" s="228"/>
      <c r="V43" s="228"/>
      <c r="W43" s="228">
        <v>26.5</v>
      </c>
      <c r="X43" s="228"/>
      <c r="Y43" s="228"/>
      <c r="Z43" s="228"/>
      <c r="AA43" s="228"/>
      <c r="AB43" s="228"/>
      <c r="AC43" s="228"/>
      <c r="AD43" s="228"/>
      <c r="AE43" s="228"/>
      <c r="AF43" s="228"/>
      <c r="AG43" s="228">
        <v>787.8</v>
      </c>
      <c r="AH43" s="296">
        <f t="shared" si="1"/>
        <v>323.1</v>
      </c>
      <c r="AI43" s="297">
        <v>323.1</v>
      </c>
      <c r="AJ43" s="297"/>
      <c r="AK43" s="224">
        <f t="shared" si="2"/>
        <v>28974.0176</v>
      </c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</row>
    <row r="44" spans="1:56" s="226" customFormat="1" ht="15.75" customHeight="1">
      <c r="A44" s="227" t="s">
        <v>444</v>
      </c>
      <c r="B44" s="228">
        <v>4900.6</v>
      </c>
      <c r="C44" s="228">
        <v>3216.8</v>
      </c>
      <c r="D44" s="228">
        <v>332.5</v>
      </c>
      <c r="E44" s="228">
        <f t="shared" si="0"/>
        <v>147.4</v>
      </c>
      <c r="F44" s="228">
        <v>67.8</v>
      </c>
      <c r="G44" s="228"/>
      <c r="H44" s="228">
        <v>60.1</v>
      </c>
      <c r="I44" s="229"/>
      <c r="J44" s="228"/>
      <c r="K44" s="228">
        <v>19.5</v>
      </c>
      <c r="L44" s="228"/>
      <c r="M44" s="278">
        <v>10.058</v>
      </c>
      <c r="N44" s="228"/>
      <c r="O44" s="228"/>
      <c r="P44" s="228"/>
      <c r="Q44" s="228"/>
      <c r="R44" s="228"/>
      <c r="S44" s="228">
        <v>467.4</v>
      </c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>
        <v>1033.7</v>
      </c>
      <c r="AH44" s="296">
        <f t="shared" si="1"/>
        <v>323.1</v>
      </c>
      <c r="AI44" s="297">
        <v>323.1</v>
      </c>
      <c r="AJ44" s="297"/>
      <c r="AK44" s="224">
        <f t="shared" si="2"/>
        <v>10431.558</v>
      </c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</row>
    <row r="45" spans="1:56" s="226" customFormat="1" ht="15.75" customHeight="1">
      <c r="A45" s="227" t="s">
        <v>445</v>
      </c>
      <c r="B45" s="228">
        <v>4545.1</v>
      </c>
      <c r="C45" s="228">
        <v>241</v>
      </c>
      <c r="D45" s="228">
        <v>500.4</v>
      </c>
      <c r="E45" s="228">
        <f t="shared" si="0"/>
        <v>51.2</v>
      </c>
      <c r="F45" s="228">
        <v>12.1</v>
      </c>
      <c r="G45" s="228"/>
      <c r="H45" s="228">
        <v>15.5</v>
      </c>
      <c r="I45" s="229"/>
      <c r="J45" s="228"/>
      <c r="K45" s="228">
        <v>23.6</v>
      </c>
      <c r="L45" s="228"/>
      <c r="M45" s="278"/>
      <c r="N45" s="228"/>
      <c r="O45" s="228"/>
      <c r="P45" s="228"/>
      <c r="Q45" s="228"/>
      <c r="R45" s="228"/>
      <c r="S45" s="228">
        <v>238.4</v>
      </c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>
        <v>1679.2</v>
      </c>
      <c r="AH45" s="296">
        <f t="shared" si="1"/>
        <v>0</v>
      </c>
      <c r="AI45" s="297"/>
      <c r="AJ45" s="297"/>
      <c r="AK45" s="224">
        <f t="shared" si="2"/>
        <v>7255.300000000001</v>
      </c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</row>
    <row r="46" spans="1:56" s="226" customFormat="1" ht="15.75" customHeight="1">
      <c r="A46" s="227" t="s">
        <v>446</v>
      </c>
      <c r="B46" s="228">
        <v>4504.8</v>
      </c>
      <c r="C46" s="228">
        <v>3211.9</v>
      </c>
      <c r="D46" s="228">
        <v>289.5</v>
      </c>
      <c r="E46" s="228">
        <f t="shared" si="0"/>
        <v>124.6</v>
      </c>
      <c r="F46" s="228">
        <v>78.6</v>
      </c>
      <c r="G46" s="228"/>
      <c r="H46" s="228">
        <v>23.8</v>
      </c>
      <c r="I46" s="229"/>
      <c r="J46" s="228"/>
      <c r="K46" s="228">
        <v>22.2</v>
      </c>
      <c r="L46" s="228"/>
      <c r="M46" s="278">
        <f>11.7+0.5334+6.818</f>
        <v>19.0514</v>
      </c>
      <c r="N46" s="228"/>
      <c r="O46" s="228"/>
      <c r="P46" s="228"/>
      <c r="Q46" s="228"/>
      <c r="R46" s="228"/>
      <c r="S46" s="228">
        <v>283.8</v>
      </c>
      <c r="T46" s="228"/>
      <c r="U46" s="228"/>
      <c r="V46" s="228"/>
      <c r="W46" s="228">
        <v>25.4</v>
      </c>
      <c r="X46" s="228"/>
      <c r="Y46" s="228"/>
      <c r="Z46" s="228"/>
      <c r="AA46" s="228"/>
      <c r="AB46" s="228"/>
      <c r="AC46" s="228"/>
      <c r="AD46" s="228"/>
      <c r="AE46" s="228"/>
      <c r="AF46" s="228"/>
      <c r="AG46" s="228">
        <v>1567</v>
      </c>
      <c r="AH46" s="296">
        <f t="shared" si="1"/>
        <v>0</v>
      </c>
      <c r="AI46" s="297"/>
      <c r="AJ46" s="297"/>
      <c r="AK46" s="224">
        <f t="shared" si="2"/>
        <v>10026.0514</v>
      </c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</row>
    <row r="47" spans="1:56" s="226" customFormat="1" ht="15.75" customHeight="1">
      <c r="A47" s="227" t="s">
        <v>447</v>
      </c>
      <c r="B47" s="228">
        <v>6165</v>
      </c>
      <c r="C47" s="228">
        <v>559.1</v>
      </c>
      <c r="D47" s="228">
        <v>825</v>
      </c>
      <c r="E47" s="228">
        <f t="shared" si="0"/>
        <v>95.4</v>
      </c>
      <c r="F47" s="228">
        <v>47</v>
      </c>
      <c r="G47" s="228"/>
      <c r="H47" s="228">
        <v>27.3</v>
      </c>
      <c r="I47" s="229"/>
      <c r="J47" s="228"/>
      <c r="K47" s="228">
        <v>21.1</v>
      </c>
      <c r="L47" s="228"/>
      <c r="M47" s="278">
        <f>9.1+0.30881+5.415</f>
        <v>14.823809999999998</v>
      </c>
      <c r="N47" s="228"/>
      <c r="O47" s="228"/>
      <c r="P47" s="228"/>
      <c r="Q47" s="228"/>
      <c r="R47" s="228"/>
      <c r="S47" s="228">
        <v>374.4</v>
      </c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>
        <v>497.5</v>
      </c>
      <c r="AH47" s="296">
        <f t="shared" si="1"/>
        <v>0</v>
      </c>
      <c r="AI47" s="297"/>
      <c r="AJ47" s="297"/>
      <c r="AK47" s="224">
        <f t="shared" si="2"/>
        <v>8531.22381</v>
      </c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</row>
    <row r="48" spans="1:56" s="226" customFormat="1" ht="15.75" customHeight="1">
      <c r="A48" s="227" t="s">
        <v>448</v>
      </c>
      <c r="B48" s="228">
        <v>18096.4</v>
      </c>
      <c r="C48" s="228">
        <v>6348</v>
      </c>
      <c r="D48" s="228">
        <v>1002.7</v>
      </c>
      <c r="E48" s="228">
        <f t="shared" si="0"/>
        <v>439</v>
      </c>
      <c r="F48" s="228">
        <v>152.4</v>
      </c>
      <c r="G48" s="228"/>
      <c r="H48" s="228">
        <v>197.5</v>
      </c>
      <c r="I48" s="229"/>
      <c r="J48" s="228"/>
      <c r="K48" s="228">
        <v>89.1</v>
      </c>
      <c r="L48" s="228"/>
      <c r="M48" s="278">
        <f>9.1+0.3088+4.912+8.849</f>
        <v>23.1698</v>
      </c>
      <c r="N48" s="228"/>
      <c r="O48" s="228"/>
      <c r="P48" s="228"/>
      <c r="Q48" s="228"/>
      <c r="R48" s="228"/>
      <c r="S48" s="228">
        <v>1039.2</v>
      </c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>
        <v>2564.8</v>
      </c>
      <c r="AH48" s="296">
        <f t="shared" si="1"/>
        <v>323.1</v>
      </c>
      <c r="AI48" s="297">
        <v>323.1</v>
      </c>
      <c r="AJ48" s="297"/>
      <c r="AK48" s="224">
        <f t="shared" si="2"/>
        <v>29836.3698</v>
      </c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</row>
    <row r="49" spans="1:56" s="226" customFormat="1" ht="15.75" customHeight="1">
      <c r="A49" s="227" t="s">
        <v>449</v>
      </c>
      <c r="B49" s="228">
        <v>7080.5</v>
      </c>
      <c r="C49" s="228">
        <v>4972.6</v>
      </c>
      <c r="D49" s="228">
        <v>386.9</v>
      </c>
      <c r="E49" s="228">
        <f t="shared" si="0"/>
        <v>237.8</v>
      </c>
      <c r="F49" s="228">
        <v>121.4</v>
      </c>
      <c r="G49" s="228"/>
      <c r="H49" s="228">
        <v>87.6</v>
      </c>
      <c r="I49" s="229"/>
      <c r="J49" s="228"/>
      <c r="K49" s="228">
        <v>28.8</v>
      </c>
      <c r="L49" s="228"/>
      <c r="M49" s="278">
        <f>11.7+0.4534+6.898</f>
        <v>19.0514</v>
      </c>
      <c r="N49" s="228"/>
      <c r="O49" s="228"/>
      <c r="P49" s="228"/>
      <c r="Q49" s="228"/>
      <c r="R49" s="228"/>
      <c r="S49" s="228">
        <v>445.7</v>
      </c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>
        <v>2307.8</v>
      </c>
      <c r="AH49" s="296">
        <f t="shared" si="1"/>
        <v>323.1</v>
      </c>
      <c r="AI49" s="297">
        <v>323.1</v>
      </c>
      <c r="AJ49" s="297"/>
      <c r="AK49" s="224">
        <f t="shared" si="2"/>
        <v>15773.4514</v>
      </c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</row>
    <row r="50" spans="1:56" s="226" customFormat="1" ht="15.75" customHeight="1">
      <c r="A50" s="227" t="s">
        <v>450</v>
      </c>
      <c r="B50" s="228">
        <v>3824.6</v>
      </c>
      <c r="C50" s="228">
        <v>3496.6</v>
      </c>
      <c r="D50" s="228">
        <v>369.4</v>
      </c>
      <c r="E50" s="228">
        <f t="shared" si="0"/>
        <v>195.89999999999998</v>
      </c>
      <c r="F50" s="228">
        <v>81.3</v>
      </c>
      <c r="G50" s="228"/>
      <c r="H50" s="228">
        <v>71.8</v>
      </c>
      <c r="I50" s="229"/>
      <c r="J50" s="228"/>
      <c r="K50" s="228">
        <v>42.8</v>
      </c>
      <c r="L50" s="228"/>
      <c r="M50" s="278">
        <f>8+0.41608+6.92</f>
        <v>15.33608</v>
      </c>
      <c r="N50" s="228"/>
      <c r="O50" s="228"/>
      <c r="P50" s="228"/>
      <c r="Q50" s="228"/>
      <c r="R50" s="228"/>
      <c r="S50" s="228">
        <v>347.4</v>
      </c>
      <c r="T50" s="228"/>
      <c r="U50" s="228"/>
      <c r="V50" s="228"/>
      <c r="W50" s="228">
        <v>21.7</v>
      </c>
      <c r="X50" s="228"/>
      <c r="Y50" s="228"/>
      <c r="Z50" s="228"/>
      <c r="AA50" s="228"/>
      <c r="AB50" s="228"/>
      <c r="AC50" s="228"/>
      <c r="AD50" s="228"/>
      <c r="AE50" s="228"/>
      <c r="AF50" s="228"/>
      <c r="AG50" s="228">
        <v>2085.1</v>
      </c>
      <c r="AH50" s="296">
        <f t="shared" si="1"/>
        <v>323.1</v>
      </c>
      <c r="AI50" s="297">
        <v>323.1</v>
      </c>
      <c r="AJ50" s="297"/>
      <c r="AK50" s="224">
        <f t="shared" si="2"/>
        <v>10679.13608</v>
      </c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</row>
    <row r="51" spans="1:56" s="226" customFormat="1" ht="15.75" customHeight="1">
      <c r="A51" s="227" t="s">
        <v>451</v>
      </c>
      <c r="B51" s="228">
        <v>8148</v>
      </c>
      <c r="C51" s="228">
        <v>1298.2</v>
      </c>
      <c r="D51" s="228">
        <v>1020.1</v>
      </c>
      <c r="E51" s="228">
        <f t="shared" si="0"/>
        <v>107.2</v>
      </c>
      <c r="F51" s="228">
        <v>72.3</v>
      </c>
      <c r="G51" s="228"/>
      <c r="H51" s="228">
        <v>21.1</v>
      </c>
      <c r="I51" s="229"/>
      <c r="J51" s="228"/>
      <c r="K51" s="228">
        <v>13.8</v>
      </c>
      <c r="L51" s="228"/>
      <c r="M51" s="278">
        <f>19.4+1.39112+23.8</f>
        <v>44.591120000000004</v>
      </c>
      <c r="N51" s="228"/>
      <c r="O51" s="228"/>
      <c r="P51" s="228"/>
      <c r="Q51" s="228"/>
      <c r="R51" s="228"/>
      <c r="S51" s="228">
        <v>494.5</v>
      </c>
      <c r="T51" s="228"/>
      <c r="U51" s="228"/>
      <c r="V51" s="228"/>
      <c r="W51" s="228">
        <v>15.1</v>
      </c>
      <c r="X51" s="228"/>
      <c r="Y51" s="228"/>
      <c r="Z51" s="228"/>
      <c r="AA51" s="228"/>
      <c r="AB51" s="228"/>
      <c r="AC51" s="228"/>
      <c r="AD51" s="228"/>
      <c r="AE51" s="228"/>
      <c r="AF51" s="228"/>
      <c r="AG51" s="228">
        <v>1226.8</v>
      </c>
      <c r="AH51" s="296">
        <f t="shared" si="1"/>
        <v>323.1</v>
      </c>
      <c r="AI51" s="297">
        <v>323.1</v>
      </c>
      <c r="AJ51" s="297"/>
      <c r="AK51" s="224">
        <f t="shared" si="2"/>
        <v>12677.591120000001</v>
      </c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</row>
    <row r="52" spans="1:56" s="226" customFormat="1" ht="15.75" customHeight="1">
      <c r="A52" s="227" t="s">
        <v>452</v>
      </c>
      <c r="B52" s="228">
        <v>11001.1</v>
      </c>
      <c r="C52" s="228">
        <v>4446.5</v>
      </c>
      <c r="D52" s="228">
        <v>877.4</v>
      </c>
      <c r="E52" s="228">
        <f t="shared" si="0"/>
        <v>295.8</v>
      </c>
      <c r="F52" s="228">
        <v>118.8</v>
      </c>
      <c r="G52" s="228"/>
      <c r="H52" s="228">
        <v>161.7</v>
      </c>
      <c r="I52" s="229"/>
      <c r="J52" s="228"/>
      <c r="K52" s="228">
        <v>15.3</v>
      </c>
      <c r="L52" s="228"/>
      <c r="M52" s="278">
        <f>20.8+0.9624+12.112</f>
        <v>33.8744</v>
      </c>
      <c r="N52" s="228"/>
      <c r="O52" s="228"/>
      <c r="P52" s="228"/>
      <c r="Q52" s="228"/>
      <c r="R52" s="228"/>
      <c r="S52" s="228">
        <v>699.2</v>
      </c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>
        <v>2049.6</v>
      </c>
      <c r="AH52" s="296">
        <f t="shared" si="1"/>
        <v>215.4</v>
      </c>
      <c r="AI52" s="297">
        <v>215.4</v>
      </c>
      <c r="AJ52" s="297"/>
      <c r="AK52" s="224">
        <f t="shared" si="2"/>
        <v>19618.8744</v>
      </c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</row>
    <row r="53" spans="1:56" s="226" customFormat="1" ht="15.75" customHeight="1">
      <c r="A53" s="227" t="s">
        <v>453</v>
      </c>
      <c r="B53" s="228">
        <v>7951.2</v>
      </c>
      <c r="C53" s="228">
        <v>849.7</v>
      </c>
      <c r="D53" s="228">
        <v>1167.1</v>
      </c>
      <c r="E53" s="228">
        <f t="shared" si="0"/>
        <v>129.6</v>
      </c>
      <c r="F53" s="228">
        <v>43.5</v>
      </c>
      <c r="G53" s="228"/>
      <c r="H53" s="228">
        <v>72.3</v>
      </c>
      <c r="I53" s="229"/>
      <c r="J53" s="228"/>
      <c r="K53" s="228">
        <v>13.8</v>
      </c>
      <c r="L53" s="228"/>
      <c r="M53" s="278">
        <f>11.7+0.4528+6.899</f>
        <v>19.0518</v>
      </c>
      <c r="N53" s="228"/>
      <c r="O53" s="228"/>
      <c r="P53" s="228"/>
      <c r="Q53" s="228"/>
      <c r="R53" s="228"/>
      <c r="S53" s="228">
        <v>445</v>
      </c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>
        <v>971.4</v>
      </c>
      <c r="AH53" s="296">
        <f t="shared" si="1"/>
        <v>323.1</v>
      </c>
      <c r="AI53" s="297">
        <v>323.1</v>
      </c>
      <c r="AJ53" s="297"/>
      <c r="AK53" s="224">
        <f t="shared" si="2"/>
        <v>11856.1518</v>
      </c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</row>
    <row r="54" spans="1:56" s="226" customFormat="1" ht="15.75" customHeight="1">
      <c r="A54" s="227" t="s">
        <v>454</v>
      </c>
      <c r="B54" s="228">
        <v>4518.4</v>
      </c>
      <c r="C54" s="228">
        <v>802</v>
      </c>
      <c r="D54" s="228">
        <v>358.1</v>
      </c>
      <c r="E54" s="228">
        <f t="shared" si="0"/>
        <v>98.9</v>
      </c>
      <c r="F54" s="228">
        <v>33.5</v>
      </c>
      <c r="G54" s="228"/>
      <c r="H54" s="228">
        <v>17.7</v>
      </c>
      <c r="I54" s="229"/>
      <c r="J54" s="228"/>
      <c r="K54" s="228">
        <v>47.7</v>
      </c>
      <c r="L54" s="228"/>
      <c r="M54" s="278">
        <f>9.1+0.3088+5.415+8.801</f>
        <v>23.6248</v>
      </c>
      <c r="N54" s="228"/>
      <c r="O54" s="228"/>
      <c r="P54" s="228">
        <v>4000</v>
      </c>
      <c r="Q54" s="228"/>
      <c r="R54" s="228"/>
      <c r="S54" s="228">
        <v>340</v>
      </c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>
        <v>1684.2</v>
      </c>
      <c r="AH54" s="296">
        <f t="shared" si="1"/>
        <v>0</v>
      </c>
      <c r="AI54" s="297"/>
      <c r="AJ54" s="297"/>
      <c r="AK54" s="224">
        <f t="shared" si="2"/>
        <v>11825.2248</v>
      </c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</row>
    <row r="55" spans="1:56" s="226" customFormat="1" ht="15.75" customHeight="1">
      <c r="A55" s="227" t="s">
        <v>455</v>
      </c>
      <c r="B55" s="228">
        <v>5133.6</v>
      </c>
      <c r="C55" s="228">
        <v>1427.4</v>
      </c>
      <c r="D55" s="228">
        <v>490.1</v>
      </c>
      <c r="E55" s="228">
        <f t="shared" si="0"/>
        <v>113.4</v>
      </c>
      <c r="F55" s="228">
        <v>55.7</v>
      </c>
      <c r="G55" s="228"/>
      <c r="H55" s="228">
        <v>35.1</v>
      </c>
      <c r="I55" s="229"/>
      <c r="J55" s="228"/>
      <c r="K55" s="228">
        <v>22.6</v>
      </c>
      <c r="L55" s="228"/>
      <c r="M55" s="278">
        <v>9.977</v>
      </c>
      <c r="N55" s="228"/>
      <c r="O55" s="228"/>
      <c r="P55" s="228"/>
      <c r="Q55" s="228"/>
      <c r="R55" s="228"/>
      <c r="S55" s="228">
        <v>346.1</v>
      </c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>
        <v>828.4</v>
      </c>
      <c r="AH55" s="296">
        <f t="shared" si="1"/>
        <v>0</v>
      </c>
      <c r="AI55" s="297"/>
      <c r="AJ55" s="297"/>
      <c r="AK55" s="224">
        <f t="shared" si="2"/>
        <v>8348.977</v>
      </c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</row>
    <row r="56" spans="1:56" s="226" customFormat="1" ht="15.75" customHeight="1" thickBot="1">
      <c r="A56" s="230" t="s">
        <v>406</v>
      </c>
      <c r="B56" s="231"/>
      <c r="C56" s="232"/>
      <c r="D56" s="231"/>
      <c r="E56" s="231">
        <f t="shared" si="0"/>
        <v>0</v>
      </c>
      <c r="F56" s="231"/>
      <c r="G56" s="231"/>
      <c r="H56" s="231"/>
      <c r="I56" s="231"/>
      <c r="J56" s="231"/>
      <c r="K56" s="231"/>
      <c r="L56" s="231"/>
      <c r="M56" s="231"/>
      <c r="N56" s="231">
        <v>98507.5</v>
      </c>
      <c r="O56" s="231">
        <v>2369.1</v>
      </c>
      <c r="P56" s="231">
        <f>50000-9500</f>
        <v>40500</v>
      </c>
      <c r="Q56" s="231">
        <v>5658.5</v>
      </c>
      <c r="R56" s="231">
        <v>140000</v>
      </c>
      <c r="S56" s="231">
        <v>3157.3</v>
      </c>
      <c r="T56" s="231">
        <v>20000</v>
      </c>
      <c r="U56" s="231">
        <v>4344.6</v>
      </c>
      <c r="V56" s="231">
        <v>1970.1</v>
      </c>
      <c r="W56" s="231"/>
      <c r="X56" s="231"/>
      <c r="Y56" s="231"/>
      <c r="Z56" s="231">
        <f>6033.8-3837.8</f>
        <v>2196</v>
      </c>
      <c r="AA56" s="231">
        <v>68999</v>
      </c>
      <c r="AB56" s="231">
        <v>4527.7</v>
      </c>
      <c r="AC56" s="231">
        <v>64611.3</v>
      </c>
      <c r="AD56" s="231">
        <v>2968.5</v>
      </c>
      <c r="AE56" s="231">
        <v>1605.5</v>
      </c>
      <c r="AF56" s="231">
        <f>29971.1+44583.6</f>
        <v>74554.7</v>
      </c>
      <c r="AG56" s="231">
        <v>21800.4</v>
      </c>
      <c r="AH56" s="330">
        <v>54400</v>
      </c>
      <c r="AI56" s="298"/>
      <c r="AJ56" s="298"/>
      <c r="AK56" s="224">
        <f t="shared" si="2"/>
        <v>612170.2</v>
      </c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</row>
    <row r="57" spans="1:56" s="226" customFormat="1" ht="18" customHeight="1" thickBot="1">
      <c r="A57" s="233" t="s">
        <v>456</v>
      </c>
      <c r="B57" s="234">
        <f>SUM(B11:B56)</f>
        <v>804631.0999999999</v>
      </c>
      <c r="C57" s="235">
        <f aca="true" t="shared" si="3" ref="C57:AJ57">SUM(C11:C56)</f>
        <v>552589.2</v>
      </c>
      <c r="D57" s="234">
        <f t="shared" si="3"/>
        <v>31203.299999999996</v>
      </c>
      <c r="E57" s="234">
        <f t="shared" si="3"/>
        <v>93703.00000000001</v>
      </c>
      <c r="F57" s="234">
        <f t="shared" si="3"/>
        <v>71262.90000000001</v>
      </c>
      <c r="G57" s="234">
        <f t="shared" si="3"/>
        <v>2907.6000000000004</v>
      </c>
      <c r="H57" s="234">
        <f t="shared" si="3"/>
        <v>13120.1</v>
      </c>
      <c r="I57" s="234">
        <f t="shared" si="3"/>
        <v>563.2</v>
      </c>
      <c r="J57" s="234">
        <f t="shared" si="3"/>
        <v>2245.4</v>
      </c>
      <c r="K57" s="234">
        <f t="shared" si="3"/>
        <v>3603.7999999999993</v>
      </c>
      <c r="L57" s="234">
        <f t="shared" si="3"/>
        <v>500</v>
      </c>
      <c r="M57" s="279">
        <f>SUM(M11:M56)</f>
        <v>3232.4220000000005</v>
      </c>
      <c r="N57" s="234">
        <f t="shared" si="3"/>
        <v>98507.5</v>
      </c>
      <c r="O57" s="234">
        <f t="shared" si="3"/>
        <v>2369.1</v>
      </c>
      <c r="P57" s="234">
        <f>SUM(P11:P56)</f>
        <v>58000</v>
      </c>
      <c r="Q57" s="234">
        <f t="shared" si="3"/>
        <v>5658.5</v>
      </c>
      <c r="R57" s="234">
        <f t="shared" si="3"/>
        <v>140000</v>
      </c>
      <c r="S57" s="234">
        <f t="shared" si="3"/>
        <v>39944.6</v>
      </c>
      <c r="T57" s="234">
        <f t="shared" si="3"/>
        <v>20000</v>
      </c>
      <c r="U57" s="234">
        <f t="shared" si="3"/>
        <v>4344.6</v>
      </c>
      <c r="V57" s="234">
        <f t="shared" si="3"/>
        <v>1970.1</v>
      </c>
      <c r="W57" s="234">
        <f t="shared" si="3"/>
        <v>117.49999999999999</v>
      </c>
      <c r="X57" s="234">
        <f t="shared" si="3"/>
        <v>22100</v>
      </c>
      <c r="Y57" s="234">
        <f t="shared" si="3"/>
        <v>67200</v>
      </c>
      <c r="Z57" s="234">
        <f t="shared" si="3"/>
        <v>2196</v>
      </c>
      <c r="AA57" s="234">
        <f t="shared" si="3"/>
        <v>68999</v>
      </c>
      <c r="AB57" s="234">
        <f t="shared" si="3"/>
        <v>4527.7</v>
      </c>
      <c r="AC57" s="234">
        <f t="shared" si="3"/>
        <v>64611.3</v>
      </c>
      <c r="AD57" s="234">
        <f t="shared" si="3"/>
        <v>2968.5</v>
      </c>
      <c r="AE57" s="234">
        <f t="shared" si="3"/>
        <v>1605.5</v>
      </c>
      <c r="AF57" s="234">
        <f t="shared" si="3"/>
        <v>74554.7</v>
      </c>
      <c r="AG57" s="234">
        <f t="shared" si="3"/>
        <v>87201.5</v>
      </c>
      <c r="AH57" s="299">
        <f>SUM(AH11:AH56)</f>
        <v>60000</v>
      </c>
      <c r="AI57" s="234">
        <f t="shared" si="3"/>
        <v>4415.599999999999</v>
      </c>
      <c r="AJ57" s="299">
        <f t="shared" si="3"/>
        <v>1184.4</v>
      </c>
      <c r="AK57" s="338">
        <f>SUM(AK11:AK56)</f>
        <v>2312735.1219999995</v>
      </c>
      <c r="AL57" s="225">
        <f>AK57-AJ57-AI57</f>
        <v>2307135.1219999995</v>
      </c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</row>
    <row r="58" spans="3:56" ht="15.75">
      <c r="C58" s="29"/>
      <c r="E58" s="29"/>
      <c r="M58" s="3">
        <f>3058.132+174.3</f>
        <v>3232.4320000000002</v>
      </c>
      <c r="P58" s="3">
        <f>58-40.5</f>
        <v>17.5</v>
      </c>
      <c r="W58" s="29">
        <f>W57-28.8-25.4</f>
        <v>63.29999999999999</v>
      </c>
      <c r="AK58" s="236">
        <f>SUM(AK11:AK56)</f>
        <v>2312735.1219999995</v>
      </c>
      <c r="AL58" s="225">
        <f>AK57-AF57-AG57</f>
        <v>2150978.9219999993</v>
      </c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</row>
    <row r="59" spans="33:56" ht="15.75">
      <c r="AG59" s="226"/>
      <c r="AH59" s="226"/>
      <c r="AI59" s="226"/>
      <c r="AJ59" s="226"/>
      <c r="AK59" s="236">
        <f>2252506.6</f>
        <v>2252506.6</v>
      </c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</row>
    <row r="60" spans="6:56" ht="15.75">
      <c r="F60" s="29"/>
      <c r="G60" s="29"/>
      <c r="AK60" s="236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</row>
    <row r="61" spans="37:56" ht="15.75">
      <c r="AK61" s="236">
        <f>AK59-AK57</f>
        <v>-60228.521999999415</v>
      </c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</row>
    <row r="62" spans="37:56" ht="15.75">
      <c r="AK62" s="236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</row>
    <row r="63" spans="37:56" ht="15.75">
      <c r="AK63" s="236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</row>
    <row r="64" spans="37:56" ht="15.75">
      <c r="AK64" s="236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</row>
    <row r="65" spans="37:56" ht="15.75">
      <c r="AK65" s="236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</row>
    <row r="66" spans="37:56" ht="15.75">
      <c r="AK66" s="236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</row>
    <row r="67" spans="37:56" ht="15.75">
      <c r="AK67" s="236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</row>
    <row r="68" spans="37:56" ht="15.75">
      <c r="AK68" s="236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</row>
    <row r="69" spans="37:56" ht="15.75">
      <c r="AK69" s="236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</row>
    <row r="70" spans="37:56" ht="15.75">
      <c r="AK70" s="236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</row>
    <row r="71" spans="37:56" ht="15.75">
      <c r="AK71" s="236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</row>
    <row r="72" spans="37:56" ht="15.75">
      <c r="AK72" s="236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</row>
    <row r="73" spans="37:56" ht="15.75">
      <c r="AK73" s="236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</row>
    <row r="74" spans="37:56" ht="15.75">
      <c r="AK74" s="236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</row>
    <row r="75" spans="37:56" ht="15.75">
      <c r="AK75" s="236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</row>
    <row r="76" spans="37:56" ht="15.75">
      <c r="AK76" s="236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</row>
    <row r="77" spans="37:56" ht="15.75">
      <c r="AK77" s="236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</row>
    <row r="78" spans="37:56" ht="15.75">
      <c r="AK78" s="236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</row>
    <row r="79" spans="37:56" ht="15.75">
      <c r="AK79" s="236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</row>
    <row r="80" spans="37:56" ht="15.75">
      <c r="AK80" s="236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</row>
    <row r="81" spans="37:56" ht="15.75">
      <c r="AK81" s="236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</row>
    <row r="82" spans="37:56" ht="15.75">
      <c r="AK82" s="236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</row>
    <row r="83" spans="37:56" ht="15.75">
      <c r="AK83" s="236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</row>
    <row r="84" spans="37:56" ht="15.75">
      <c r="AK84" s="236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</row>
    <row r="85" spans="37:56" ht="15.75">
      <c r="AK85" s="236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</row>
    <row r="86" spans="37:56" ht="15.75">
      <c r="AK86" s="236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</row>
    <row r="87" spans="37:56" ht="15.75">
      <c r="AK87" s="236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</row>
    <row r="88" spans="37:56" ht="15.75">
      <c r="AK88" s="236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</row>
    <row r="89" spans="37:56" ht="15.75">
      <c r="AK89" s="236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</row>
    <row r="90" spans="37:56" ht="15.75">
      <c r="AK90" s="236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</row>
    <row r="91" spans="37:56" ht="15.75">
      <c r="AK91" s="236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</row>
    <row r="92" spans="37:56" ht="15.75">
      <c r="AK92" s="236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</row>
    <row r="93" spans="37:56" ht="15.75">
      <c r="AK93" s="236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</row>
    <row r="94" spans="37:56" ht="15.75">
      <c r="AK94" s="236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</row>
    <row r="95" spans="37:56" ht="15.75">
      <c r="AK95" s="236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</row>
    <row r="96" spans="37:56" ht="15.75">
      <c r="AK96" s="236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</row>
    <row r="97" spans="37:56" ht="15.75">
      <c r="AK97" s="236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</row>
    <row r="98" spans="37:56" ht="15.75">
      <c r="AK98" s="236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</row>
    <row r="99" spans="37:56" ht="15.75">
      <c r="AK99" s="236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</row>
    <row r="100" spans="37:56" ht="15.75">
      <c r="AK100" s="236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</row>
    <row r="101" spans="37:56" ht="15.75">
      <c r="AK101" s="236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</row>
    <row r="102" spans="37:56" ht="15.75">
      <c r="AK102" s="236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</row>
    <row r="103" spans="37:56" ht="15.75">
      <c r="AK103" s="236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</row>
    <row r="104" spans="37:56" ht="15.75">
      <c r="AK104" s="236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</row>
    <row r="105" spans="37:56" ht="15.75">
      <c r="AK105" s="236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</row>
    <row r="106" spans="37:56" ht="15.75">
      <c r="AK106" s="236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</row>
    <row r="107" spans="37:56" ht="15.75">
      <c r="AK107" s="236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</row>
    <row r="108" spans="37:56" ht="15.75">
      <c r="AK108" s="236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</row>
    <row r="109" spans="37:56" ht="15.75">
      <c r="AK109" s="236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</row>
    <row r="110" spans="37:56" ht="15.75">
      <c r="AK110" s="236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</row>
    <row r="111" spans="37:56" ht="15.75">
      <c r="AK111" s="236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</row>
    <row r="112" spans="37:56" ht="15.75">
      <c r="AK112" s="236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</row>
    <row r="113" spans="37:56" ht="15.75">
      <c r="AK113" s="236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</row>
    <row r="114" spans="37:56" ht="15.75">
      <c r="AK114" s="236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</row>
    <row r="115" spans="37:56" ht="15.75">
      <c r="AK115" s="236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</row>
    <row r="116" spans="37:56" ht="15.75">
      <c r="AK116" s="236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</row>
    <row r="117" spans="37:56" ht="15.75">
      <c r="AK117" s="236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</row>
    <row r="118" spans="37:56" ht="15.75">
      <c r="AK118" s="236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</row>
    <row r="119" spans="37:56" ht="15.75">
      <c r="AK119" s="236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</row>
    <row r="120" spans="37:56" ht="15.75">
      <c r="AK120" s="236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</row>
    <row r="121" spans="37:56" ht="15.75">
      <c r="AK121" s="236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</row>
    <row r="122" spans="37:56" ht="15.75">
      <c r="AK122" s="236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</row>
    <row r="123" spans="37:56" ht="15.75">
      <c r="AK123" s="236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</row>
    <row r="124" spans="37:56" ht="15.75">
      <c r="AK124" s="236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</row>
    <row r="125" spans="37:56" ht="15.75">
      <c r="AK125" s="236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</row>
    <row r="126" spans="37:56" ht="15.75">
      <c r="AK126" s="236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</row>
    <row r="127" spans="37:56" ht="15.75">
      <c r="AK127" s="236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</row>
    <row r="128" spans="37:56" ht="15.75">
      <c r="AK128" s="236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</row>
    <row r="129" spans="37:56" ht="15.75">
      <c r="AK129" s="236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</row>
    <row r="130" spans="37:56" ht="15.75">
      <c r="AK130" s="236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</row>
    <row r="131" spans="37:56" ht="15.75">
      <c r="AK131" s="236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</row>
    <row r="132" spans="37:56" ht="15.75">
      <c r="AK132" s="236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</row>
    <row r="133" spans="37:56" ht="15.75">
      <c r="AK133" s="236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</row>
    <row r="134" spans="37:56" ht="15.75">
      <c r="AK134" s="236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</row>
    <row r="135" spans="37:56" ht="15.75">
      <c r="AK135" s="236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</row>
    <row r="136" spans="37:56" ht="15.75">
      <c r="AK136" s="236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</row>
    <row r="137" spans="37:56" ht="15.75">
      <c r="AK137" s="236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</row>
    <row r="138" spans="37:56" ht="15.75">
      <c r="AK138" s="236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</row>
    <row r="139" spans="37:56" ht="15.75">
      <c r="AK139" s="236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</row>
    <row r="140" spans="37:56" ht="15.75">
      <c r="AK140" s="236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</row>
    <row r="141" spans="37:56" ht="15.75">
      <c r="AK141" s="236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</row>
    <row r="142" spans="37:56" ht="15.75">
      <c r="AK142" s="236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</row>
    <row r="143" spans="37:56" ht="15.75">
      <c r="AK143" s="236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</row>
    <row r="144" spans="37:56" ht="15.75">
      <c r="AK144" s="236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</row>
    <row r="145" spans="37:56" ht="15.75">
      <c r="AK145" s="236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</row>
    <row r="146" spans="37:56" ht="15.75">
      <c r="AK146" s="236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</row>
    <row r="147" spans="37:56" ht="15.75">
      <c r="AK147" s="236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</row>
    <row r="148" spans="37:56" ht="15.75">
      <c r="AK148" s="236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</row>
    <row r="149" spans="37:56" ht="15.75">
      <c r="AK149" s="236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</row>
    <row r="150" spans="37:56" ht="15.75">
      <c r="AK150" s="236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</row>
    <row r="151" spans="37:56" ht="15.75">
      <c r="AK151" s="236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</row>
    <row r="152" spans="37:56" ht="15.75">
      <c r="AK152" s="236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</row>
    <row r="153" spans="37:56" ht="15.75">
      <c r="AK153" s="236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</row>
    <row r="154" spans="37:56" ht="15.75">
      <c r="AK154" s="236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</row>
    <row r="155" spans="37:56" ht="15.75">
      <c r="AK155" s="236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</row>
    <row r="156" spans="37:56" ht="15.75">
      <c r="AK156" s="236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</row>
    <row r="157" spans="37:56" ht="15.75">
      <c r="AK157" s="236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</row>
    <row r="158" spans="37:56" ht="15.75">
      <c r="AK158" s="236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</row>
    <row r="159" spans="37:56" ht="15.75">
      <c r="AK159" s="236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</row>
    <row r="160" spans="37:56" ht="15.75">
      <c r="AK160" s="236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</row>
    <row r="161" spans="37:56" ht="15.75">
      <c r="AK161" s="236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</row>
    <row r="162" spans="37:56" ht="15.75">
      <c r="AK162" s="236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</row>
    <row r="163" spans="37:56" ht="15.75">
      <c r="AK163" s="236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</row>
    <row r="164" spans="37:56" ht="15.75">
      <c r="AK164" s="236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</row>
    <row r="165" spans="37:56" ht="15.75">
      <c r="AK165" s="236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</row>
    <row r="166" spans="37:56" ht="15.75">
      <c r="AK166" s="236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</row>
    <row r="167" spans="37:56" ht="15.75">
      <c r="AK167" s="236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</row>
    <row r="168" spans="37:56" ht="15.75">
      <c r="AK168" s="236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</row>
    <row r="169" spans="37:56" ht="15.75">
      <c r="AK169" s="236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</row>
    <row r="170" spans="37:56" ht="15.75">
      <c r="AK170" s="236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</row>
    <row r="171" spans="37:56" ht="15.75">
      <c r="AK171" s="236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</row>
    <row r="172" spans="37:56" ht="15.75">
      <c r="AK172" s="236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</row>
    <row r="173" spans="37:56" ht="15.75">
      <c r="AK173" s="236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</row>
    <row r="174" spans="37:56" ht="15.75">
      <c r="AK174" s="236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</row>
    <row r="175" spans="37:56" ht="15.75">
      <c r="AK175" s="236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</row>
    <row r="176" spans="37:56" ht="15.75">
      <c r="AK176" s="236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</row>
    <row r="177" spans="37:56" ht="15.75">
      <c r="AK177" s="236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</row>
    <row r="178" spans="37:56" ht="15.75">
      <c r="AK178" s="236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</row>
    <row r="179" spans="37:56" ht="15.75">
      <c r="AK179" s="236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</row>
    <row r="180" spans="37:56" ht="15.75">
      <c r="AK180" s="236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</row>
    <row r="181" spans="37:56" ht="15.75">
      <c r="AK181" s="236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</row>
    <row r="182" spans="37:56" ht="15.75">
      <c r="AK182" s="236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</row>
    <row r="183" spans="37:56" ht="15.75">
      <c r="AK183" s="236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</row>
    <row r="184" spans="37:56" ht="15.75">
      <c r="AK184" s="236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</row>
    <row r="185" spans="37:56" ht="15.75">
      <c r="AK185" s="236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</row>
    <row r="186" spans="37:56" ht="15.75">
      <c r="AK186" s="236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</row>
  </sheetData>
  <mergeCells count="41">
    <mergeCell ref="A7:A10"/>
    <mergeCell ref="AA8:AA10"/>
    <mergeCell ref="A5:S5"/>
    <mergeCell ref="K9:K10"/>
    <mergeCell ref="Q8:Q10"/>
    <mergeCell ref="R8:R10"/>
    <mergeCell ref="S8:S10"/>
    <mergeCell ref="M8:M10"/>
    <mergeCell ref="N8:N10"/>
    <mergeCell ref="O8:O10"/>
    <mergeCell ref="P8:P10"/>
    <mergeCell ref="C8:C10"/>
    <mergeCell ref="AH9:AH10"/>
    <mergeCell ref="AI9:AJ9"/>
    <mergeCell ref="F9:F10"/>
    <mergeCell ref="G9:G10"/>
    <mergeCell ref="H9:H10"/>
    <mergeCell ref="I9:J9"/>
    <mergeCell ref="U8:U10"/>
    <mergeCell ref="V8:V10"/>
    <mergeCell ref="W8:W10"/>
    <mergeCell ref="AE8:AE10"/>
    <mergeCell ref="AF7:AF10"/>
    <mergeCell ref="AG7:AG10"/>
    <mergeCell ref="B7:Q7"/>
    <mergeCell ref="R7:W7"/>
    <mergeCell ref="T8:T10"/>
    <mergeCell ref="E8:E10"/>
    <mergeCell ref="F8:K8"/>
    <mergeCell ref="L8:L10"/>
    <mergeCell ref="B8:B10"/>
    <mergeCell ref="D8:D10"/>
    <mergeCell ref="AH7:AJ8"/>
    <mergeCell ref="AK7:AK10"/>
    <mergeCell ref="X7:X10"/>
    <mergeCell ref="Y7:Y10"/>
    <mergeCell ref="Z7:Z10"/>
    <mergeCell ref="AA7:AE7"/>
    <mergeCell ref="AB8:AB10"/>
    <mergeCell ref="AC8:AC10"/>
    <mergeCell ref="AD8:AD10"/>
  </mergeCells>
  <printOptions/>
  <pageMargins left="0.32" right="0.14" top="0.46" bottom="0.2" header="0.5" footer="0.5"/>
  <pageSetup horizontalDpi="600" verticalDpi="600" orientation="landscape" paperSize="9" scale="43" r:id="rId1"/>
  <colBreaks count="2" manualBreakCount="2">
    <brk id="19" max="56" man="1"/>
    <brk id="37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75" zoomScaleSheetLayoutView="75" workbookViewId="0" topLeftCell="A7">
      <pane xSplit="1" ySplit="4" topLeftCell="C15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H13" sqref="H13:H37"/>
    </sheetView>
  </sheetViews>
  <sheetFormatPr defaultColWidth="9.00390625" defaultRowHeight="12.75"/>
  <cols>
    <col min="1" max="1" width="18.125" style="160" customWidth="1"/>
    <col min="2" max="2" width="20.25390625" style="160" customWidth="1"/>
    <col min="3" max="3" width="19.625" style="160" customWidth="1"/>
    <col min="4" max="4" width="17.875" style="160" customWidth="1"/>
    <col min="5" max="6" width="21.625" style="160" customWidth="1"/>
    <col min="7" max="9" width="23.375" style="160" customWidth="1"/>
    <col min="10" max="10" width="18.125" style="160" customWidth="1"/>
    <col min="11" max="16384" width="8.875" style="160" customWidth="1"/>
  </cols>
  <sheetData>
    <row r="1" spans="4:10" ht="13.5" customHeight="1">
      <c r="D1" s="261"/>
      <c r="E1" s="261"/>
      <c r="F1" s="261"/>
      <c r="G1" s="261" t="s">
        <v>128</v>
      </c>
      <c r="H1" s="261"/>
      <c r="I1" s="261"/>
      <c r="J1" s="261"/>
    </row>
    <row r="2" spans="4:10" ht="12.75">
      <c r="D2" s="261"/>
      <c r="E2" s="261"/>
      <c r="F2" s="261"/>
      <c r="G2" s="261" t="s">
        <v>231</v>
      </c>
      <c r="H2" s="261"/>
      <c r="I2" s="261"/>
      <c r="J2" s="261"/>
    </row>
    <row r="3" spans="4:10" ht="12.75">
      <c r="D3" s="261"/>
      <c r="E3" s="261"/>
      <c r="F3" s="261"/>
      <c r="G3" s="261" t="s">
        <v>91</v>
      </c>
      <c r="H3" s="261"/>
      <c r="I3" s="261"/>
      <c r="J3" s="261"/>
    </row>
    <row r="4" spans="2:10" ht="12.75">
      <c r="B4" s="5"/>
      <c r="C4" s="5"/>
      <c r="D4" s="5"/>
      <c r="E4" s="5"/>
      <c r="F4" s="5"/>
      <c r="G4" s="5"/>
      <c r="H4" s="5"/>
      <c r="I4" s="5"/>
      <c r="J4" s="5"/>
    </row>
    <row r="5" spans="2:10" ht="12.75">
      <c r="B5" s="5"/>
      <c r="C5" s="5"/>
      <c r="D5" s="5"/>
      <c r="E5" s="5"/>
      <c r="F5" s="5"/>
      <c r="G5" s="5"/>
      <c r="H5" s="5"/>
      <c r="I5" s="5"/>
      <c r="J5" s="5"/>
    </row>
    <row r="6" ht="12.75">
      <c r="J6" s="5"/>
    </row>
    <row r="7" spans="1:11" ht="33.75" customHeight="1">
      <c r="A7" s="432" t="s">
        <v>64</v>
      </c>
      <c r="B7" s="432"/>
      <c r="C7" s="432"/>
      <c r="D7" s="432"/>
      <c r="E7" s="432"/>
      <c r="F7" s="432"/>
      <c r="G7" s="432"/>
      <c r="H7" s="432"/>
      <c r="I7" s="432"/>
      <c r="J7" s="432"/>
      <c r="K7" s="161"/>
    </row>
    <row r="8" ht="13.5" thickBot="1">
      <c r="J8" s="162" t="s">
        <v>609</v>
      </c>
    </row>
    <row r="9" spans="1:11" s="290" customFormat="1" ht="68.25" customHeight="1">
      <c r="A9" s="435" t="s">
        <v>170</v>
      </c>
      <c r="B9" s="433" t="s">
        <v>65</v>
      </c>
      <c r="C9" s="437" t="s">
        <v>66</v>
      </c>
      <c r="D9" s="430" t="s">
        <v>386</v>
      </c>
      <c r="E9" s="430" t="s">
        <v>246</v>
      </c>
      <c r="F9" s="430" t="s">
        <v>524</v>
      </c>
      <c r="G9" s="430" t="s">
        <v>247</v>
      </c>
      <c r="H9" s="430" t="s">
        <v>46</v>
      </c>
      <c r="I9" s="430" t="s">
        <v>474</v>
      </c>
      <c r="J9" s="439" t="s">
        <v>67</v>
      </c>
      <c r="K9" s="163"/>
    </row>
    <row r="10" spans="1:11" s="290" customFormat="1" ht="24.75" customHeight="1" thickBot="1">
      <c r="A10" s="436"/>
      <c r="B10" s="434"/>
      <c r="C10" s="438"/>
      <c r="D10" s="431"/>
      <c r="E10" s="431"/>
      <c r="F10" s="431"/>
      <c r="G10" s="431"/>
      <c r="H10" s="431"/>
      <c r="I10" s="431"/>
      <c r="J10" s="440"/>
      <c r="K10" s="163"/>
    </row>
    <row r="11" spans="1:18" ht="25.5">
      <c r="A11" s="253" t="s">
        <v>412</v>
      </c>
      <c r="B11" s="254">
        <f>999.1+21.4+48.5</f>
        <v>1069</v>
      </c>
      <c r="C11" s="164"/>
      <c r="D11" s="164"/>
      <c r="E11" s="164"/>
      <c r="F11" s="164"/>
      <c r="G11" s="164"/>
      <c r="H11" s="164"/>
      <c r="I11" s="164"/>
      <c r="J11" s="165">
        <f aca="true" t="shared" si="0" ref="J11:J56">SUM(B11:I11)</f>
        <v>1069</v>
      </c>
      <c r="L11" s="164" t="s">
        <v>325</v>
      </c>
      <c r="O11" s="164" t="s">
        <v>325</v>
      </c>
      <c r="R11" s="160" t="s">
        <v>325</v>
      </c>
    </row>
    <row r="12" spans="1:10" ht="15">
      <c r="A12" s="118" t="s">
        <v>413</v>
      </c>
      <c r="B12" s="120"/>
      <c r="C12" s="164"/>
      <c r="D12" s="316"/>
      <c r="E12" s="164">
        <v>62.5</v>
      </c>
      <c r="F12" s="164"/>
      <c r="G12" s="164"/>
      <c r="H12" s="164"/>
      <c r="I12" s="164"/>
      <c r="J12" s="165">
        <f t="shared" si="0"/>
        <v>62.5</v>
      </c>
    </row>
    <row r="13" spans="1:10" ht="12.75">
      <c r="A13" s="255" t="s">
        <v>414</v>
      </c>
      <c r="B13" s="254">
        <f>999.1+23.1+49.4</f>
        <v>1071.6000000000001</v>
      </c>
      <c r="C13" s="164"/>
      <c r="D13" s="316"/>
      <c r="E13" s="164"/>
      <c r="F13" s="164"/>
      <c r="G13" s="164"/>
      <c r="H13" s="164">
        <v>70</v>
      </c>
      <c r="I13" s="164">
        <v>2.5</v>
      </c>
      <c r="J13" s="165">
        <f t="shared" si="0"/>
        <v>1144.1000000000001</v>
      </c>
    </row>
    <row r="14" spans="1:10" ht="15">
      <c r="A14" s="118" t="s">
        <v>415</v>
      </c>
      <c r="B14" s="120"/>
      <c r="C14" s="164"/>
      <c r="D14" s="316"/>
      <c r="E14" s="164"/>
      <c r="F14" s="164"/>
      <c r="G14" s="164"/>
      <c r="H14" s="164"/>
      <c r="I14" s="164"/>
      <c r="J14" s="165">
        <f t="shared" si="0"/>
        <v>0</v>
      </c>
    </row>
    <row r="15" spans="1:10" ht="12.75">
      <c r="A15" s="255" t="s">
        <v>416</v>
      </c>
      <c r="B15" s="254">
        <f>999.1+23.6+53</f>
        <v>1075.7</v>
      </c>
      <c r="C15" s="164"/>
      <c r="D15" s="316"/>
      <c r="E15" s="164"/>
      <c r="F15" s="164"/>
      <c r="G15" s="164"/>
      <c r="H15" s="164">
        <v>70</v>
      </c>
      <c r="I15" s="164"/>
      <c r="J15" s="165">
        <f t="shared" si="0"/>
        <v>1145.7</v>
      </c>
    </row>
    <row r="16" spans="1:10" ht="15">
      <c r="A16" s="118" t="s">
        <v>417</v>
      </c>
      <c r="B16" s="120"/>
      <c r="C16" s="164"/>
      <c r="D16" s="316"/>
      <c r="E16" s="164"/>
      <c r="F16" s="164"/>
      <c r="G16" s="164"/>
      <c r="H16" s="164"/>
      <c r="I16" s="164"/>
      <c r="J16" s="165">
        <f t="shared" si="0"/>
        <v>0</v>
      </c>
    </row>
    <row r="17" spans="1:10" ht="12.75">
      <c r="A17" s="255" t="s">
        <v>418</v>
      </c>
      <c r="B17" s="153">
        <f>499.5+15.3+33</f>
        <v>547.8</v>
      </c>
      <c r="C17" s="164"/>
      <c r="D17" s="316"/>
      <c r="E17" s="164"/>
      <c r="F17" s="164"/>
      <c r="G17" s="164"/>
      <c r="H17" s="164"/>
      <c r="I17" s="164"/>
      <c r="J17" s="165">
        <f t="shared" si="0"/>
        <v>547.8</v>
      </c>
    </row>
    <row r="18" spans="1:10" ht="15">
      <c r="A18" s="118" t="s">
        <v>419</v>
      </c>
      <c r="B18" s="120"/>
      <c r="C18" s="164"/>
      <c r="D18" s="316"/>
      <c r="E18" s="164"/>
      <c r="F18" s="164"/>
      <c r="G18" s="164"/>
      <c r="H18" s="164"/>
      <c r="I18" s="164">
        <v>0.8</v>
      </c>
      <c r="J18" s="165">
        <f t="shared" si="0"/>
        <v>0.8</v>
      </c>
    </row>
    <row r="19" spans="1:10" ht="12.75">
      <c r="A19" s="255" t="s">
        <v>420</v>
      </c>
      <c r="B19" s="153">
        <f>2997.2+51.9+107.2</f>
        <v>3156.2999999999997</v>
      </c>
      <c r="C19" s="164"/>
      <c r="D19" s="316">
        <v>7000</v>
      </c>
      <c r="E19" s="164"/>
      <c r="F19" s="164"/>
      <c r="G19" s="164"/>
      <c r="H19" s="164"/>
      <c r="I19" s="164">
        <v>0.8</v>
      </c>
      <c r="J19" s="165">
        <f t="shared" si="0"/>
        <v>10157.099999999999</v>
      </c>
    </row>
    <row r="20" spans="1:10" ht="15">
      <c r="A20" s="118" t="s">
        <v>421</v>
      </c>
      <c r="B20" s="120"/>
      <c r="C20" s="164"/>
      <c r="D20" s="316"/>
      <c r="E20" s="164"/>
      <c r="F20" s="164"/>
      <c r="G20" s="164"/>
      <c r="H20" s="164"/>
      <c r="I20" s="164"/>
      <c r="J20" s="165">
        <f t="shared" si="0"/>
        <v>0</v>
      </c>
    </row>
    <row r="21" spans="1:10" ht="12.75">
      <c r="A21" s="255" t="s">
        <v>422</v>
      </c>
      <c r="B21" s="153">
        <f>799.2+21+48.2</f>
        <v>868.4000000000001</v>
      </c>
      <c r="C21" s="164"/>
      <c r="D21" s="316">
        <v>250</v>
      </c>
      <c r="E21" s="164"/>
      <c r="F21" s="164"/>
      <c r="G21" s="164"/>
      <c r="H21" s="164">
        <v>70</v>
      </c>
      <c r="I21" s="164"/>
      <c r="J21" s="165">
        <f t="shared" si="0"/>
        <v>1188.4</v>
      </c>
    </row>
    <row r="22" spans="1:10" ht="15">
      <c r="A22" s="118" t="s">
        <v>423</v>
      </c>
      <c r="B22" s="120"/>
      <c r="C22" s="164"/>
      <c r="D22" s="316"/>
      <c r="E22" s="164"/>
      <c r="F22" s="164">
        <v>600</v>
      </c>
      <c r="G22" s="164"/>
      <c r="H22" s="164"/>
      <c r="I22" s="164"/>
      <c r="J22" s="165">
        <f t="shared" si="0"/>
        <v>600</v>
      </c>
    </row>
    <row r="23" spans="1:10" ht="15">
      <c r="A23" s="118" t="s">
        <v>172</v>
      </c>
      <c r="B23" s="120"/>
      <c r="C23" s="166"/>
      <c r="D23" s="316"/>
      <c r="E23" s="164"/>
      <c r="F23" s="164"/>
      <c r="G23" s="164"/>
      <c r="H23" s="164"/>
      <c r="I23" s="164"/>
      <c r="J23" s="165">
        <f t="shared" si="0"/>
        <v>0</v>
      </c>
    </row>
    <row r="24" spans="1:10" ht="15">
      <c r="A24" s="118" t="s">
        <v>424</v>
      </c>
      <c r="B24" s="120"/>
      <c r="C24" s="336"/>
      <c r="D24" s="316">
        <v>250</v>
      </c>
      <c r="E24" s="247">
        <v>62.5</v>
      </c>
      <c r="F24" s="247"/>
      <c r="G24" s="247"/>
      <c r="H24" s="247"/>
      <c r="I24" s="247"/>
      <c r="J24" s="165">
        <f t="shared" si="0"/>
        <v>312.5</v>
      </c>
    </row>
    <row r="25" spans="1:10" ht="12.75">
      <c r="A25" s="255" t="s">
        <v>425</v>
      </c>
      <c r="B25" s="153">
        <f>899.2+21.2+46.6</f>
        <v>967.0000000000001</v>
      </c>
      <c r="C25" s="167"/>
      <c r="D25" s="316"/>
      <c r="E25" s="247">
        <v>62.5</v>
      </c>
      <c r="F25" s="247"/>
      <c r="G25" s="247"/>
      <c r="H25" s="247">
        <v>70</v>
      </c>
      <c r="I25" s="247"/>
      <c r="J25" s="165">
        <f t="shared" si="0"/>
        <v>1099.5</v>
      </c>
    </row>
    <row r="26" spans="1:10" ht="15">
      <c r="A26" s="118" t="s">
        <v>426</v>
      </c>
      <c r="B26" s="120"/>
      <c r="C26" s="167"/>
      <c r="D26" s="316"/>
      <c r="E26" s="247"/>
      <c r="F26" s="247"/>
      <c r="G26" s="247"/>
      <c r="H26" s="247">
        <v>70</v>
      </c>
      <c r="I26" s="247"/>
      <c r="J26" s="165">
        <f t="shared" si="0"/>
        <v>70</v>
      </c>
    </row>
    <row r="27" spans="1:10" ht="12.75">
      <c r="A27" s="255" t="s">
        <v>427</v>
      </c>
      <c r="B27" s="153">
        <f>599.4+18.7+39.9</f>
        <v>658</v>
      </c>
      <c r="C27" s="167"/>
      <c r="D27" s="316">
        <v>1850</v>
      </c>
      <c r="E27" s="247"/>
      <c r="F27" s="247"/>
      <c r="G27" s="247"/>
      <c r="H27" s="247"/>
      <c r="I27" s="247">
        <v>16.5</v>
      </c>
      <c r="J27" s="165">
        <f t="shared" si="0"/>
        <v>2524.5</v>
      </c>
    </row>
    <row r="28" spans="1:10" ht="15">
      <c r="A28" s="118" t="s">
        <v>428</v>
      </c>
      <c r="B28" s="120"/>
      <c r="C28" s="168"/>
      <c r="D28" s="321"/>
      <c r="E28" s="248"/>
      <c r="F28" s="248"/>
      <c r="G28" s="248"/>
      <c r="H28" s="248">
        <v>70</v>
      </c>
      <c r="I28" s="248">
        <v>0.8</v>
      </c>
      <c r="J28" s="165">
        <f t="shared" si="0"/>
        <v>70.8</v>
      </c>
    </row>
    <row r="29" spans="1:10" ht="15">
      <c r="A29" s="118" t="s">
        <v>429</v>
      </c>
      <c r="B29" s="120"/>
      <c r="C29" s="169"/>
      <c r="D29" s="321"/>
      <c r="E29" s="249"/>
      <c r="F29" s="249"/>
      <c r="G29" s="249"/>
      <c r="H29" s="249">
        <v>210</v>
      </c>
      <c r="I29" s="249"/>
      <c r="J29" s="165">
        <f t="shared" si="0"/>
        <v>210</v>
      </c>
    </row>
    <row r="30" spans="1:10" ht="15">
      <c r="A30" s="118" t="s">
        <v>430</v>
      </c>
      <c r="B30" s="120"/>
      <c r="C30" s="169"/>
      <c r="D30" s="321">
        <v>500</v>
      </c>
      <c r="E30" s="249"/>
      <c r="F30" s="249"/>
      <c r="G30" s="249"/>
      <c r="H30" s="249"/>
      <c r="I30" s="249"/>
      <c r="J30" s="165">
        <f t="shared" si="0"/>
        <v>500</v>
      </c>
    </row>
    <row r="31" spans="1:10" ht="15">
      <c r="A31" s="170" t="s">
        <v>431</v>
      </c>
      <c r="B31" s="41"/>
      <c r="C31" s="169"/>
      <c r="D31" s="321"/>
      <c r="E31" s="249"/>
      <c r="F31" s="249"/>
      <c r="G31" s="249"/>
      <c r="H31" s="249"/>
      <c r="I31" s="249"/>
      <c r="J31" s="165">
        <f t="shared" si="0"/>
        <v>0</v>
      </c>
    </row>
    <row r="32" spans="1:10" ht="12.75">
      <c r="A32" s="256" t="s">
        <v>432</v>
      </c>
      <c r="B32" s="44">
        <f>999.1+20.5+40.7</f>
        <v>1060.3</v>
      </c>
      <c r="C32" s="113"/>
      <c r="D32" s="321">
        <f>2100+320+1000+100</f>
        <v>3520</v>
      </c>
      <c r="E32" s="249"/>
      <c r="F32" s="249"/>
      <c r="G32" s="249"/>
      <c r="H32" s="249"/>
      <c r="I32" s="249"/>
      <c r="J32" s="165">
        <f t="shared" si="0"/>
        <v>4580.3</v>
      </c>
    </row>
    <row r="33" spans="1:10" ht="15">
      <c r="A33" s="170" t="s">
        <v>433</v>
      </c>
      <c r="B33" s="41"/>
      <c r="C33" s="44"/>
      <c r="D33" s="322"/>
      <c r="E33" s="250"/>
      <c r="F33" s="250"/>
      <c r="G33" s="250"/>
      <c r="H33" s="250"/>
      <c r="I33" s="250"/>
      <c r="J33" s="165">
        <f t="shared" si="0"/>
        <v>0</v>
      </c>
    </row>
    <row r="34" spans="1:10" ht="15">
      <c r="A34" s="170" t="s">
        <v>434</v>
      </c>
      <c r="B34" s="41"/>
      <c r="C34" s="171"/>
      <c r="D34" s="322">
        <v>800</v>
      </c>
      <c r="E34" s="251">
        <v>62.5</v>
      </c>
      <c r="F34" s="251"/>
      <c r="G34" s="251"/>
      <c r="H34" s="251"/>
      <c r="I34" s="251"/>
      <c r="J34" s="165">
        <f t="shared" si="0"/>
        <v>862.5</v>
      </c>
    </row>
    <row r="35" spans="1:10" ht="15">
      <c r="A35" s="170" t="s">
        <v>435</v>
      </c>
      <c r="B35" s="41"/>
      <c r="C35" s="172"/>
      <c r="D35" s="322"/>
      <c r="E35" s="251"/>
      <c r="F35" s="251"/>
      <c r="G35" s="251"/>
      <c r="H35" s="251"/>
      <c r="I35" s="251"/>
      <c r="J35" s="165">
        <f t="shared" si="0"/>
        <v>0</v>
      </c>
    </row>
    <row r="36" spans="1:10" ht="12.75">
      <c r="A36" s="256" t="s">
        <v>436</v>
      </c>
      <c r="B36" s="44">
        <f>499.5+14.1+30.5</f>
        <v>544.1</v>
      </c>
      <c r="C36" s="172"/>
      <c r="D36" s="322"/>
      <c r="E36" s="251"/>
      <c r="F36" s="251"/>
      <c r="G36" s="251"/>
      <c r="H36" s="251">
        <v>70</v>
      </c>
      <c r="I36" s="251"/>
      <c r="J36" s="165">
        <f t="shared" si="0"/>
        <v>614.1</v>
      </c>
    </row>
    <row r="37" spans="1:10" ht="12.75">
      <c r="A37" s="256" t="s">
        <v>437</v>
      </c>
      <c r="B37" s="44">
        <f>499.5+13.6+30.6</f>
        <v>543.7</v>
      </c>
      <c r="C37" s="172"/>
      <c r="D37" s="322"/>
      <c r="E37" s="251"/>
      <c r="F37" s="251"/>
      <c r="G37" s="251"/>
      <c r="H37" s="251"/>
      <c r="I37" s="251"/>
      <c r="J37" s="165">
        <f t="shared" si="0"/>
        <v>543.7</v>
      </c>
    </row>
    <row r="38" spans="1:10" ht="15">
      <c r="A38" s="170" t="s">
        <v>438</v>
      </c>
      <c r="B38" s="41"/>
      <c r="C38" s="172"/>
      <c r="D38" s="322"/>
      <c r="E38" s="251"/>
      <c r="F38" s="251"/>
      <c r="G38" s="251"/>
      <c r="H38" s="251"/>
      <c r="I38" s="251"/>
      <c r="J38" s="165">
        <f t="shared" si="0"/>
        <v>0</v>
      </c>
    </row>
    <row r="39" spans="1:10" ht="15">
      <c r="A39" s="170" t="s">
        <v>439</v>
      </c>
      <c r="B39" s="41"/>
      <c r="C39" s="172"/>
      <c r="D39" s="322">
        <v>130</v>
      </c>
      <c r="E39" s="251"/>
      <c r="F39" s="251"/>
      <c r="G39" s="251"/>
      <c r="H39" s="251"/>
      <c r="I39" s="251">
        <v>12.4</v>
      </c>
      <c r="J39" s="165">
        <f t="shared" si="0"/>
        <v>142.4</v>
      </c>
    </row>
    <row r="40" spans="1:10" ht="15">
      <c r="A40" s="170" t="s">
        <v>440</v>
      </c>
      <c r="B40" s="41"/>
      <c r="C40" s="172"/>
      <c r="D40" s="322"/>
      <c r="E40" s="251">
        <v>62.5</v>
      </c>
      <c r="F40" s="251"/>
      <c r="G40" s="251"/>
      <c r="H40" s="251"/>
      <c r="I40" s="251">
        <v>18.1</v>
      </c>
      <c r="J40" s="165">
        <f t="shared" si="0"/>
        <v>80.6</v>
      </c>
    </row>
    <row r="41" spans="1:10" ht="15">
      <c r="A41" s="170" t="s">
        <v>441</v>
      </c>
      <c r="B41" s="41"/>
      <c r="C41" s="172"/>
      <c r="D41" s="322">
        <f>400+200</f>
        <v>600</v>
      </c>
      <c r="E41" s="251">
        <v>62.5</v>
      </c>
      <c r="F41" s="251"/>
      <c r="G41" s="251"/>
      <c r="H41" s="251"/>
      <c r="I41" s="251">
        <v>19.4</v>
      </c>
      <c r="J41" s="165">
        <f t="shared" si="0"/>
        <v>681.9</v>
      </c>
    </row>
    <row r="42" spans="1:10" ht="12.75">
      <c r="A42" s="256" t="s">
        <v>442</v>
      </c>
      <c r="B42" s="44">
        <f>799.2+22.2+50.7</f>
        <v>872.1000000000001</v>
      </c>
      <c r="C42" s="172"/>
      <c r="D42" s="322"/>
      <c r="E42" s="251"/>
      <c r="F42" s="251"/>
      <c r="G42" s="251"/>
      <c r="H42" s="251"/>
      <c r="I42" s="251">
        <v>20</v>
      </c>
      <c r="J42" s="165">
        <f t="shared" si="0"/>
        <v>892.1000000000001</v>
      </c>
    </row>
    <row r="43" spans="1:10" ht="13.5" customHeight="1">
      <c r="A43" s="170" t="s">
        <v>443</v>
      </c>
      <c r="B43" s="41"/>
      <c r="C43" s="172"/>
      <c r="D43" s="322"/>
      <c r="E43" s="251"/>
      <c r="F43" s="251"/>
      <c r="G43" s="251"/>
      <c r="H43" s="251"/>
      <c r="I43" s="251">
        <v>20</v>
      </c>
      <c r="J43" s="165">
        <f t="shared" si="0"/>
        <v>20</v>
      </c>
    </row>
    <row r="44" spans="1:10" ht="15">
      <c r="A44" s="170" t="s">
        <v>444</v>
      </c>
      <c r="B44" s="41"/>
      <c r="C44" s="172"/>
      <c r="D44" s="322">
        <v>300</v>
      </c>
      <c r="E44" s="251">
        <v>62.5</v>
      </c>
      <c r="F44" s="251"/>
      <c r="G44" s="251"/>
      <c r="H44" s="251"/>
      <c r="I44" s="251">
        <v>12.8</v>
      </c>
      <c r="J44" s="165">
        <f t="shared" si="0"/>
        <v>375.3</v>
      </c>
    </row>
    <row r="45" spans="1:10" ht="15.75" customHeight="1">
      <c r="A45" s="170" t="s">
        <v>445</v>
      </c>
      <c r="B45" s="41"/>
      <c r="C45" s="172"/>
      <c r="D45" s="322"/>
      <c r="E45" s="251"/>
      <c r="F45" s="251"/>
      <c r="G45" s="251"/>
      <c r="H45" s="251"/>
      <c r="I45" s="251">
        <v>17.1</v>
      </c>
      <c r="J45" s="165">
        <f t="shared" si="0"/>
        <v>17.1</v>
      </c>
    </row>
    <row r="46" spans="1:10" ht="15">
      <c r="A46" s="170" t="s">
        <v>446</v>
      </c>
      <c r="B46" s="41"/>
      <c r="C46" s="172"/>
      <c r="D46" s="322">
        <v>150</v>
      </c>
      <c r="E46" s="251"/>
      <c r="F46" s="251"/>
      <c r="G46" s="251"/>
      <c r="H46" s="251"/>
      <c r="I46" s="251">
        <v>19</v>
      </c>
      <c r="J46" s="165">
        <f t="shared" si="0"/>
        <v>169</v>
      </c>
    </row>
    <row r="47" spans="1:10" ht="13.5" customHeight="1">
      <c r="A47" s="170" t="s">
        <v>447</v>
      </c>
      <c r="B47" s="41"/>
      <c r="C47" s="172"/>
      <c r="D47" s="322"/>
      <c r="E47" s="251"/>
      <c r="F47" s="251"/>
      <c r="G47" s="251"/>
      <c r="H47" s="251"/>
      <c r="I47" s="251">
        <v>19</v>
      </c>
      <c r="J47" s="165">
        <f t="shared" si="0"/>
        <v>19</v>
      </c>
    </row>
    <row r="48" spans="1:10" ht="15">
      <c r="A48" s="170" t="s">
        <v>448</v>
      </c>
      <c r="B48" s="41"/>
      <c r="C48" s="172"/>
      <c r="D48" s="322">
        <f>1000+500+1000</f>
        <v>2500</v>
      </c>
      <c r="E48" s="250"/>
      <c r="F48" s="250"/>
      <c r="G48" s="250">
        <v>100</v>
      </c>
      <c r="H48" s="250"/>
      <c r="I48" s="250">
        <v>15.7</v>
      </c>
      <c r="J48" s="165">
        <f t="shared" si="0"/>
        <v>2615.7</v>
      </c>
    </row>
    <row r="49" spans="1:10" ht="13.5" customHeight="1">
      <c r="A49" s="170" t="s">
        <v>449</v>
      </c>
      <c r="B49" s="41"/>
      <c r="C49" s="172"/>
      <c r="D49" s="322"/>
      <c r="E49" s="251"/>
      <c r="F49" s="251"/>
      <c r="G49" s="251"/>
      <c r="H49" s="251"/>
      <c r="I49" s="251">
        <v>18.8</v>
      </c>
      <c r="J49" s="165">
        <f t="shared" si="0"/>
        <v>18.8</v>
      </c>
    </row>
    <row r="50" spans="1:10" ht="12.75">
      <c r="A50" s="256" t="s">
        <v>450</v>
      </c>
      <c r="B50" s="44">
        <f>499.5+14.8+30</f>
        <v>544.3</v>
      </c>
      <c r="C50" s="172"/>
      <c r="D50" s="322">
        <f>250+385</f>
        <v>635</v>
      </c>
      <c r="E50" s="251"/>
      <c r="F50" s="251"/>
      <c r="G50" s="251"/>
      <c r="H50" s="251"/>
      <c r="I50" s="251">
        <v>14</v>
      </c>
      <c r="J50" s="165">
        <f t="shared" si="0"/>
        <v>1193.3</v>
      </c>
    </row>
    <row r="51" spans="1:10" ht="15">
      <c r="A51" s="170" t="s">
        <v>451</v>
      </c>
      <c r="B51" s="41"/>
      <c r="C51" s="172"/>
      <c r="D51" s="322">
        <v>150</v>
      </c>
      <c r="E51" s="251"/>
      <c r="F51" s="251"/>
      <c r="G51" s="251"/>
      <c r="H51" s="251"/>
      <c r="I51" s="251">
        <v>16.5</v>
      </c>
      <c r="J51" s="165">
        <f t="shared" si="0"/>
        <v>166.5</v>
      </c>
    </row>
    <row r="52" spans="1:10" ht="13.5" customHeight="1">
      <c r="A52" s="170" t="s">
        <v>452</v>
      </c>
      <c r="B52" s="41"/>
      <c r="C52" s="172"/>
      <c r="D52" s="322">
        <f>100+480</f>
        <v>580</v>
      </c>
      <c r="E52" s="251"/>
      <c r="F52" s="251"/>
      <c r="G52" s="251"/>
      <c r="H52" s="251"/>
      <c r="I52" s="251">
        <v>13.2</v>
      </c>
      <c r="J52" s="165">
        <f t="shared" si="0"/>
        <v>593.2</v>
      </c>
    </row>
    <row r="53" spans="1:10" ht="15">
      <c r="A53" s="170" t="s">
        <v>453</v>
      </c>
      <c r="B53" s="41"/>
      <c r="C53" s="172"/>
      <c r="D53" s="322"/>
      <c r="E53" s="251">
        <v>62.5</v>
      </c>
      <c r="F53" s="251"/>
      <c r="G53" s="251"/>
      <c r="H53" s="251"/>
      <c r="I53" s="251">
        <v>20</v>
      </c>
      <c r="J53" s="165">
        <f t="shared" si="0"/>
        <v>82.5</v>
      </c>
    </row>
    <row r="54" spans="1:10" ht="13.5" customHeight="1">
      <c r="A54" s="170" t="s">
        <v>454</v>
      </c>
      <c r="B54" s="41"/>
      <c r="C54" s="172"/>
      <c r="D54" s="322"/>
      <c r="E54" s="251"/>
      <c r="F54" s="251"/>
      <c r="G54" s="251"/>
      <c r="H54" s="251"/>
      <c r="I54" s="251">
        <v>12.4</v>
      </c>
      <c r="J54" s="165">
        <f t="shared" si="0"/>
        <v>12.4</v>
      </c>
    </row>
    <row r="55" spans="1:10" ht="15">
      <c r="A55" s="119" t="s">
        <v>455</v>
      </c>
      <c r="B55" s="41"/>
      <c r="C55" s="172"/>
      <c r="D55" s="179">
        <f>500+60.7+500</f>
        <v>1060.7</v>
      </c>
      <c r="E55" s="251"/>
      <c r="F55" s="251"/>
      <c r="G55" s="251"/>
      <c r="H55" s="251"/>
      <c r="I55" s="251">
        <v>10.2</v>
      </c>
      <c r="J55" s="165">
        <f t="shared" si="0"/>
        <v>1070.9</v>
      </c>
    </row>
    <row r="56" spans="1:10" ht="13.5" thickBot="1">
      <c r="A56" s="257" t="s">
        <v>68</v>
      </c>
      <c r="B56" s="258"/>
      <c r="C56" s="173">
        <v>3000</v>
      </c>
      <c r="D56" s="323"/>
      <c r="E56" s="252"/>
      <c r="F56" s="252"/>
      <c r="G56" s="252"/>
      <c r="H56" s="252"/>
      <c r="I56" s="252"/>
      <c r="J56" s="165">
        <f t="shared" si="0"/>
        <v>3000</v>
      </c>
    </row>
    <row r="57" spans="1:12" ht="22.5" customHeight="1" thickBot="1">
      <c r="A57" s="259" t="s">
        <v>456</v>
      </c>
      <c r="B57" s="174">
        <f>SUM(B11:B55)</f>
        <v>12978.3</v>
      </c>
      <c r="C57" s="174">
        <f aca="true" t="shared" si="1" ref="C57:I57">SUM(C11:C56)</f>
        <v>3000</v>
      </c>
      <c r="D57" s="174">
        <f>SUM(D11:D56)</f>
        <v>20275.7</v>
      </c>
      <c r="E57" s="174">
        <f t="shared" si="1"/>
        <v>500</v>
      </c>
      <c r="F57" s="174">
        <f t="shared" si="1"/>
        <v>600</v>
      </c>
      <c r="G57" s="174">
        <f t="shared" si="1"/>
        <v>100</v>
      </c>
      <c r="H57" s="174">
        <f t="shared" si="1"/>
        <v>700</v>
      </c>
      <c r="I57" s="174">
        <f t="shared" si="1"/>
        <v>300</v>
      </c>
      <c r="J57" s="175">
        <f>B57+C57+D57+E57+G57+F57+H57+I57</f>
        <v>38454</v>
      </c>
      <c r="K57" s="160">
        <f>31848.3+300+3710.7+385+480+500+1000+130</f>
        <v>38354</v>
      </c>
      <c r="L57" s="295">
        <f>K57-J57</f>
        <v>-100</v>
      </c>
    </row>
    <row r="58" spans="4:11" ht="12.75">
      <c r="D58" s="295">
        <v>13970</v>
      </c>
      <c r="J58" s="295"/>
      <c r="K58" s="295"/>
    </row>
    <row r="59" spans="4:10" ht="12.75">
      <c r="D59" s="295">
        <f>D58-D57</f>
        <v>-6305.700000000001</v>
      </c>
      <c r="J59" s="295">
        <f>J57-B57</f>
        <v>25475.7</v>
      </c>
    </row>
    <row r="60" ht="12.75">
      <c r="D60" s="295">
        <f>3710.7+385+480+500+1000+130</f>
        <v>6205.7</v>
      </c>
    </row>
  </sheetData>
  <autoFilter ref="J11:J57"/>
  <mergeCells count="11">
    <mergeCell ref="F9:F10"/>
    <mergeCell ref="H9:H10"/>
    <mergeCell ref="I9:I10"/>
    <mergeCell ref="A7:J7"/>
    <mergeCell ref="B9:B10"/>
    <mergeCell ref="A9:A10"/>
    <mergeCell ref="C9:C10"/>
    <mergeCell ref="J9:J10"/>
    <mergeCell ref="D9:D10"/>
    <mergeCell ref="E9:E10"/>
    <mergeCell ref="G9:G10"/>
  </mergeCells>
  <printOptions/>
  <pageMargins left="1.24" right="0.2755905511811024" top="0.5118110236220472" bottom="0.31496062992125984" header="0.5118110236220472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view="pageBreakPreview" zoomScale="75" zoomScaleSheetLayoutView="75" workbookViewId="0" topLeftCell="B1">
      <pane xSplit="2" ySplit="11" topLeftCell="H53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9.00390625" defaultRowHeight="12.75"/>
  <cols>
    <col min="1" max="1" width="3.125" style="266" customWidth="1"/>
    <col min="2" max="2" width="10.875" style="266" customWidth="1"/>
    <col min="3" max="3" width="9.875" style="266" customWidth="1"/>
    <col min="4" max="4" width="13.00390625" style="266" customWidth="1"/>
    <col min="5" max="5" width="15.625" style="266" customWidth="1"/>
    <col min="6" max="12" width="13.75390625" style="266" customWidth="1"/>
    <col min="13" max="13" width="13.75390625" style="266" hidden="1" customWidth="1"/>
    <col min="14" max="16" width="13.75390625" style="266" customWidth="1"/>
    <col min="17" max="17" width="9.75390625" style="270" customWidth="1"/>
    <col min="18" max="18" width="14.125" style="266" customWidth="1"/>
    <col min="19" max="19" width="10.00390625" style="266" bestFit="1" customWidth="1"/>
    <col min="20" max="16384" width="9.125" style="266" customWidth="1"/>
  </cols>
  <sheetData>
    <row r="1" spans="4:17" s="160" customFormat="1" ht="13.5" customHeight="1">
      <c r="D1" s="261"/>
      <c r="E1" s="261"/>
      <c r="Q1" s="261" t="s">
        <v>579</v>
      </c>
    </row>
    <row r="2" spans="4:17" s="160" customFormat="1" ht="12.75">
      <c r="D2" s="261"/>
      <c r="E2" s="261"/>
      <c r="Q2" s="261" t="s">
        <v>231</v>
      </c>
    </row>
    <row r="3" spans="4:17" s="160" customFormat="1" ht="12.75">
      <c r="D3" s="261"/>
      <c r="E3" s="261"/>
      <c r="Q3" s="261" t="s">
        <v>91</v>
      </c>
    </row>
    <row r="4" spans="1:19" ht="27.75" customHeight="1">
      <c r="A4" s="457" t="s">
        <v>111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</row>
    <row r="5" spans="1:19" ht="12.75">
      <c r="A5" s="276"/>
      <c r="S5" s="266" t="s">
        <v>609</v>
      </c>
    </row>
    <row r="6" spans="1:19" ht="12.75">
      <c r="A6" s="442" t="s">
        <v>584</v>
      </c>
      <c r="B6" s="447" t="s">
        <v>586</v>
      </c>
      <c r="C6" s="448"/>
      <c r="D6" s="272" t="s">
        <v>61</v>
      </c>
      <c r="E6" s="272" t="s">
        <v>591</v>
      </c>
      <c r="F6" s="476" t="s">
        <v>592</v>
      </c>
      <c r="G6" s="474"/>
      <c r="H6" s="474"/>
      <c r="I6" s="474"/>
      <c r="J6" s="285"/>
      <c r="K6" s="285"/>
      <c r="L6" s="272" t="s">
        <v>216</v>
      </c>
      <c r="M6" s="285"/>
      <c r="N6" s="474"/>
      <c r="O6" s="474"/>
      <c r="P6" s="475"/>
      <c r="Q6" s="468" t="s">
        <v>67</v>
      </c>
      <c r="R6" s="271">
        <v>110000</v>
      </c>
      <c r="S6" s="471" t="s">
        <v>253</v>
      </c>
    </row>
    <row r="7" spans="1:19" ht="51">
      <c r="A7" s="443"/>
      <c r="B7" s="445" t="s">
        <v>585</v>
      </c>
      <c r="C7" s="446"/>
      <c r="D7" s="273" t="s">
        <v>587</v>
      </c>
      <c r="E7" s="273" t="s">
        <v>122</v>
      </c>
      <c r="F7" s="485" t="s">
        <v>588</v>
      </c>
      <c r="G7" s="486"/>
      <c r="H7" s="486"/>
      <c r="I7" s="486"/>
      <c r="J7" s="486"/>
      <c r="K7" s="486"/>
      <c r="L7" s="486"/>
      <c r="M7" s="486"/>
      <c r="N7" s="486"/>
      <c r="O7" s="486"/>
      <c r="P7" s="487"/>
      <c r="Q7" s="469"/>
      <c r="R7" s="442" t="s">
        <v>589</v>
      </c>
      <c r="S7" s="472"/>
    </row>
    <row r="8" spans="1:19" ht="26.25" customHeight="1">
      <c r="A8" s="443"/>
      <c r="B8" s="462"/>
      <c r="C8" s="460" t="s">
        <v>558</v>
      </c>
      <c r="D8" s="453" t="s">
        <v>559</v>
      </c>
      <c r="E8" s="453" t="s">
        <v>560</v>
      </c>
      <c r="F8" s="465" t="s">
        <v>580</v>
      </c>
      <c r="G8" s="485" t="s">
        <v>181</v>
      </c>
      <c r="H8" s="486"/>
      <c r="I8" s="486"/>
      <c r="J8" s="486"/>
      <c r="K8" s="486"/>
      <c r="L8" s="486"/>
      <c r="M8" s="486"/>
      <c r="N8" s="486"/>
      <c r="O8" s="486"/>
      <c r="P8" s="487"/>
      <c r="Q8" s="469"/>
      <c r="R8" s="444"/>
      <c r="S8" s="472"/>
    </row>
    <row r="9" spans="1:19" ht="12.75" customHeight="1">
      <c r="A9" s="443"/>
      <c r="B9" s="463"/>
      <c r="C9" s="461"/>
      <c r="D9" s="464"/>
      <c r="E9" s="464"/>
      <c r="F9" s="466"/>
      <c r="G9" s="453" t="s">
        <v>108</v>
      </c>
      <c r="H9" s="453" t="s">
        <v>109</v>
      </c>
      <c r="I9" s="453" t="s">
        <v>113</v>
      </c>
      <c r="J9" s="465" t="s">
        <v>110</v>
      </c>
      <c r="K9" s="477"/>
      <c r="L9" s="465" t="s">
        <v>114</v>
      </c>
      <c r="M9" s="477"/>
      <c r="N9" s="479" t="s">
        <v>253</v>
      </c>
      <c r="O9" s="480"/>
      <c r="P9" s="481"/>
      <c r="Q9" s="469"/>
      <c r="R9" s="458" t="s">
        <v>561</v>
      </c>
      <c r="S9" s="472"/>
    </row>
    <row r="10" spans="1:19" ht="151.5" customHeight="1">
      <c r="A10" s="444"/>
      <c r="B10" s="267" t="s">
        <v>170</v>
      </c>
      <c r="C10" s="268"/>
      <c r="D10" s="454"/>
      <c r="E10" s="454"/>
      <c r="F10" s="467"/>
      <c r="G10" s="454"/>
      <c r="H10" s="454"/>
      <c r="I10" s="454"/>
      <c r="J10" s="467"/>
      <c r="K10" s="478"/>
      <c r="L10" s="467"/>
      <c r="M10" s="478"/>
      <c r="N10" s="482"/>
      <c r="O10" s="483"/>
      <c r="P10" s="484"/>
      <c r="Q10" s="469"/>
      <c r="R10" s="459"/>
      <c r="S10" s="472"/>
    </row>
    <row r="11" spans="1:19" ht="25.5">
      <c r="A11" s="326"/>
      <c r="B11" s="455" t="s">
        <v>85</v>
      </c>
      <c r="C11" s="456"/>
      <c r="D11" s="324" t="s">
        <v>325</v>
      </c>
      <c r="E11" s="324" t="s">
        <v>325</v>
      </c>
      <c r="F11" s="324" t="s">
        <v>325</v>
      </c>
      <c r="G11" s="324" t="s">
        <v>325</v>
      </c>
      <c r="H11" s="324" t="s">
        <v>325</v>
      </c>
      <c r="I11" s="324" t="s">
        <v>86</v>
      </c>
      <c r="J11" s="324" t="s">
        <v>325</v>
      </c>
      <c r="K11" s="324" t="s">
        <v>86</v>
      </c>
      <c r="L11" s="324" t="s">
        <v>325</v>
      </c>
      <c r="M11" s="324" t="s">
        <v>86</v>
      </c>
      <c r="N11" s="325" t="s">
        <v>509</v>
      </c>
      <c r="O11" s="324" t="s">
        <v>325</v>
      </c>
      <c r="P11" s="324" t="s">
        <v>86</v>
      </c>
      <c r="Q11" s="470"/>
      <c r="R11" s="324" t="s">
        <v>325</v>
      </c>
      <c r="S11" s="473"/>
    </row>
    <row r="12" spans="1:20" ht="12.75">
      <c r="A12" s="269">
        <v>1</v>
      </c>
      <c r="B12" s="452" t="s">
        <v>420</v>
      </c>
      <c r="C12" s="452"/>
      <c r="D12" s="274"/>
      <c r="E12" s="274"/>
      <c r="F12" s="274"/>
      <c r="G12" s="274">
        <v>1224.3</v>
      </c>
      <c r="H12" s="274">
        <v>1970</v>
      </c>
      <c r="I12" s="274">
        <v>4856.9</v>
      </c>
      <c r="J12" s="274">
        <v>75</v>
      </c>
      <c r="K12" s="274">
        <v>1265.8</v>
      </c>
      <c r="L12" s="274">
        <v>1346.61</v>
      </c>
      <c r="M12" s="274"/>
      <c r="N12" s="275">
        <f>M12+L12+J12+K12+I12+H12+G12</f>
        <v>10738.609999999999</v>
      </c>
      <c r="O12" s="275">
        <f>L12+J12+H12+G12</f>
        <v>4615.91</v>
      </c>
      <c r="P12" s="275">
        <f>M12+K12+I12</f>
        <v>6122.7</v>
      </c>
      <c r="Q12" s="275">
        <f aca="true" t="shared" si="0" ref="Q12:Q39">D12+E12+F12+N12</f>
        <v>10738.609999999999</v>
      </c>
      <c r="R12" s="274">
        <v>200</v>
      </c>
      <c r="S12" s="275">
        <f>Q12+R12</f>
        <v>10938.609999999999</v>
      </c>
      <c r="T12" s="289">
        <f>J12+K12</f>
        <v>1340.8</v>
      </c>
    </row>
    <row r="13" spans="1:20" ht="12.75">
      <c r="A13" s="269">
        <v>2</v>
      </c>
      <c r="B13" s="449" t="s">
        <v>412</v>
      </c>
      <c r="C13" s="449"/>
      <c r="D13" s="274">
        <v>60</v>
      </c>
      <c r="E13" s="274"/>
      <c r="F13" s="274">
        <v>40</v>
      </c>
      <c r="G13" s="274">
        <v>19.6</v>
      </c>
      <c r="H13" s="274">
        <v>34.4</v>
      </c>
      <c r="I13" s="274"/>
      <c r="J13" s="274"/>
      <c r="K13" s="274"/>
      <c r="L13" s="274"/>
      <c r="M13" s="274"/>
      <c r="N13" s="275">
        <f aca="true" t="shared" si="1" ref="N13:N59">M13+L13+J13+K13+I13+H13+G13</f>
        <v>54</v>
      </c>
      <c r="O13" s="275">
        <f aca="true" t="shared" si="2" ref="O13:O58">L13+J13+H13+G13</f>
        <v>54</v>
      </c>
      <c r="P13" s="275">
        <f aca="true" t="shared" si="3" ref="P13:P59">M13+K13+I13</f>
        <v>0</v>
      </c>
      <c r="Q13" s="275">
        <f t="shared" si="0"/>
        <v>154</v>
      </c>
      <c r="R13" s="274"/>
      <c r="S13" s="275">
        <f aca="true" t="shared" si="4" ref="S13:S57">Q13+R13</f>
        <v>154</v>
      </c>
      <c r="T13" s="289">
        <f aca="true" t="shared" si="5" ref="T13:T58">J13+K13</f>
        <v>0</v>
      </c>
    </row>
    <row r="14" spans="1:20" ht="12.75">
      <c r="A14" s="269">
        <v>3</v>
      </c>
      <c r="B14" s="449" t="s">
        <v>413</v>
      </c>
      <c r="C14" s="449"/>
      <c r="D14" s="274">
        <v>60</v>
      </c>
      <c r="E14" s="274">
        <v>190</v>
      </c>
      <c r="F14" s="274">
        <v>154.5</v>
      </c>
      <c r="G14" s="274">
        <f>59-0.645</f>
        <v>58.355</v>
      </c>
      <c r="H14" s="274">
        <f>33.5-13.457</f>
        <v>20.043</v>
      </c>
      <c r="I14" s="274"/>
      <c r="J14" s="274"/>
      <c r="K14" s="274">
        <f>57.77-5.15</f>
        <v>52.620000000000005</v>
      </c>
      <c r="L14" s="274"/>
      <c r="M14" s="274"/>
      <c r="N14" s="275">
        <f t="shared" si="1"/>
        <v>131.018</v>
      </c>
      <c r="O14" s="275">
        <f t="shared" si="2"/>
        <v>78.398</v>
      </c>
      <c r="P14" s="275">
        <f t="shared" si="3"/>
        <v>52.620000000000005</v>
      </c>
      <c r="Q14" s="275">
        <f t="shared" si="0"/>
        <v>535.518</v>
      </c>
      <c r="R14" s="274"/>
      <c r="S14" s="275">
        <f t="shared" si="4"/>
        <v>535.518</v>
      </c>
      <c r="T14" s="289">
        <f t="shared" si="5"/>
        <v>52.620000000000005</v>
      </c>
    </row>
    <row r="15" spans="1:20" ht="12.75">
      <c r="A15" s="269">
        <v>4</v>
      </c>
      <c r="B15" s="449" t="s">
        <v>435</v>
      </c>
      <c r="C15" s="449"/>
      <c r="D15" s="274">
        <v>11</v>
      </c>
      <c r="E15" s="274"/>
      <c r="F15" s="274"/>
      <c r="G15" s="274">
        <v>13.5</v>
      </c>
      <c r="H15" s="274"/>
      <c r="I15" s="274"/>
      <c r="J15" s="274"/>
      <c r="K15" s="274">
        <v>8.6</v>
      </c>
      <c r="L15" s="274"/>
      <c r="M15" s="274"/>
      <c r="N15" s="275">
        <f t="shared" si="1"/>
        <v>22.1</v>
      </c>
      <c r="O15" s="275">
        <f t="shared" si="2"/>
        <v>13.5</v>
      </c>
      <c r="P15" s="275">
        <f t="shared" si="3"/>
        <v>8.6</v>
      </c>
      <c r="Q15" s="275">
        <f t="shared" si="0"/>
        <v>33.1</v>
      </c>
      <c r="R15" s="274"/>
      <c r="S15" s="275">
        <f t="shared" si="4"/>
        <v>33.1</v>
      </c>
      <c r="T15" s="289">
        <f t="shared" si="5"/>
        <v>8.6</v>
      </c>
    </row>
    <row r="16" spans="1:20" ht="12.75">
      <c r="A16" s="269">
        <v>5</v>
      </c>
      <c r="B16" s="449" t="s">
        <v>414</v>
      </c>
      <c r="C16" s="449"/>
      <c r="D16" s="274">
        <v>100</v>
      </c>
      <c r="E16" s="274">
        <v>100</v>
      </c>
      <c r="F16" s="274"/>
      <c r="G16" s="274">
        <f>194-7</f>
        <v>187</v>
      </c>
      <c r="H16" s="274">
        <f>155.1-48.8</f>
        <v>106.3</v>
      </c>
      <c r="I16" s="274"/>
      <c r="J16" s="274"/>
      <c r="K16" s="274">
        <f>157.7-7</f>
        <v>150.7</v>
      </c>
      <c r="L16" s="274"/>
      <c r="M16" s="274"/>
      <c r="N16" s="275">
        <f t="shared" si="1"/>
        <v>444</v>
      </c>
      <c r="O16" s="275">
        <f t="shared" si="2"/>
        <v>293.3</v>
      </c>
      <c r="P16" s="275">
        <f t="shared" si="3"/>
        <v>150.7</v>
      </c>
      <c r="Q16" s="275">
        <f t="shared" si="0"/>
        <v>644</v>
      </c>
      <c r="R16" s="274"/>
      <c r="S16" s="275">
        <f t="shared" si="4"/>
        <v>644</v>
      </c>
      <c r="T16" s="289">
        <f t="shared" si="5"/>
        <v>150.7</v>
      </c>
    </row>
    <row r="17" spans="1:20" ht="12.75">
      <c r="A17" s="269">
        <v>6</v>
      </c>
      <c r="B17" s="449" t="s">
        <v>415</v>
      </c>
      <c r="C17" s="449"/>
      <c r="D17" s="274">
        <v>45</v>
      </c>
      <c r="E17" s="274">
        <v>20</v>
      </c>
      <c r="F17" s="274"/>
      <c r="G17" s="274">
        <f>24.4-3.043</f>
        <v>21.357</v>
      </c>
      <c r="H17" s="274">
        <f>7-0.344</f>
        <v>6.656</v>
      </c>
      <c r="I17" s="274"/>
      <c r="J17" s="274"/>
      <c r="K17" s="274">
        <f>26.2-26.2</f>
        <v>0</v>
      </c>
      <c r="L17" s="274"/>
      <c r="M17" s="274"/>
      <c r="N17" s="275">
        <f t="shared" si="1"/>
        <v>28.012999999999998</v>
      </c>
      <c r="O17" s="275">
        <f t="shared" si="2"/>
        <v>28.012999999999998</v>
      </c>
      <c r="P17" s="275">
        <f t="shared" si="3"/>
        <v>0</v>
      </c>
      <c r="Q17" s="275">
        <f t="shared" si="0"/>
        <v>93.013</v>
      </c>
      <c r="R17" s="274"/>
      <c r="S17" s="275">
        <f t="shared" si="4"/>
        <v>93.013</v>
      </c>
      <c r="T17" s="289">
        <f t="shared" si="5"/>
        <v>0</v>
      </c>
    </row>
    <row r="18" spans="1:20" ht="12.75">
      <c r="A18" s="269">
        <v>7</v>
      </c>
      <c r="B18" s="449" t="s">
        <v>416</v>
      </c>
      <c r="C18" s="449"/>
      <c r="D18" s="274">
        <v>30</v>
      </c>
      <c r="E18" s="274">
        <v>40</v>
      </c>
      <c r="F18" s="274">
        <v>256</v>
      </c>
      <c r="G18" s="274">
        <v>42.2</v>
      </c>
      <c r="H18" s="274">
        <v>19.5</v>
      </c>
      <c r="I18" s="274"/>
      <c r="J18" s="274"/>
      <c r="K18" s="274">
        <v>42.6</v>
      </c>
      <c r="L18" s="274"/>
      <c r="M18" s="274"/>
      <c r="N18" s="275">
        <f t="shared" si="1"/>
        <v>104.30000000000001</v>
      </c>
      <c r="O18" s="275">
        <f t="shared" si="2"/>
        <v>61.7</v>
      </c>
      <c r="P18" s="275">
        <f t="shared" si="3"/>
        <v>42.6</v>
      </c>
      <c r="Q18" s="275">
        <f t="shared" si="0"/>
        <v>430.3</v>
      </c>
      <c r="R18" s="274"/>
      <c r="S18" s="275">
        <f t="shared" si="4"/>
        <v>430.3</v>
      </c>
      <c r="T18" s="289">
        <f t="shared" si="5"/>
        <v>42.6</v>
      </c>
    </row>
    <row r="19" spans="1:20" ht="12.75">
      <c r="A19" s="269">
        <v>8</v>
      </c>
      <c r="B19" s="449" t="s">
        <v>562</v>
      </c>
      <c r="C19" s="449"/>
      <c r="D19" s="274">
        <v>41</v>
      </c>
      <c r="E19" s="274">
        <v>25</v>
      </c>
      <c r="F19" s="274">
        <v>210</v>
      </c>
      <c r="G19" s="274">
        <v>41.6</v>
      </c>
      <c r="H19" s="274">
        <v>7</v>
      </c>
      <c r="I19" s="274"/>
      <c r="J19" s="274"/>
      <c r="K19" s="274">
        <v>28.3</v>
      </c>
      <c r="L19" s="274"/>
      <c r="M19" s="274"/>
      <c r="N19" s="275">
        <f t="shared" si="1"/>
        <v>76.9</v>
      </c>
      <c r="O19" s="275">
        <f t="shared" si="2"/>
        <v>48.6</v>
      </c>
      <c r="P19" s="275">
        <f t="shared" si="3"/>
        <v>28.3</v>
      </c>
      <c r="Q19" s="275">
        <f t="shared" si="0"/>
        <v>352.9</v>
      </c>
      <c r="R19" s="274"/>
      <c r="S19" s="275">
        <f t="shared" si="4"/>
        <v>352.9</v>
      </c>
      <c r="T19" s="289">
        <f t="shared" si="5"/>
        <v>28.3</v>
      </c>
    </row>
    <row r="20" spans="1:20" ht="12.75">
      <c r="A20" s="269">
        <v>9</v>
      </c>
      <c r="B20" s="449" t="s">
        <v>418</v>
      </c>
      <c r="C20" s="449"/>
      <c r="D20" s="274">
        <v>53.8</v>
      </c>
      <c r="E20" s="274"/>
      <c r="F20" s="274"/>
      <c r="G20" s="286">
        <f>62.4-24.037</f>
        <v>38.363</v>
      </c>
      <c r="H20" s="286">
        <f>8.5-5.887</f>
        <v>2.6130000000000004</v>
      </c>
      <c r="I20" s="286"/>
      <c r="J20" s="286"/>
      <c r="K20" s="286">
        <f>54.38-3.421</f>
        <v>50.959</v>
      </c>
      <c r="L20" s="274"/>
      <c r="M20" s="274"/>
      <c r="N20" s="275">
        <f t="shared" si="1"/>
        <v>91.935</v>
      </c>
      <c r="O20" s="275">
        <f t="shared" si="2"/>
        <v>40.976</v>
      </c>
      <c r="P20" s="275">
        <f t="shared" si="3"/>
        <v>50.959</v>
      </c>
      <c r="Q20" s="275">
        <f t="shared" si="0"/>
        <v>145.735</v>
      </c>
      <c r="R20" s="274"/>
      <c r="S20" s="275">
        <f t="shared" si="4"/>
        <v>145.735</v>
      </c>
      <c r="T20" s="289">
        <f t="shared" si="5"/>
        <v>50.959</v>
      </c>
    </row>
    <row r="21" spans="1:20" ht="12.75">
      <c r="A21" s="269">
        <v>10</v>
      </c>
      <c r="B21" s="449" t="s">
        <v>419</v>
      </c>
      <c r="C21" s="449"/>
      <c r="D21" s="274">
        <v>19</v>
      </c>
      <c r="E21" s="274"/>
      <c r="F21" s="274">
        <v>40</v>
      </c>
      <c r="G21" s="274">
        <v>10.5</v>
      </c>
      <c r="H21" s="274"/>
      <c r="I21" s="274"/>
      <c r="J21" s="274"/>
      <c r="K21" s="274">
        <v>13.06</v>
      </c>
      <c r="L21" s="274"/>
      <c r="M21" s="274"/>
      <c r="N21" s="275">
        <f t="shared" si="1"/>
        <v>23.560000000000002</v>
      </c>
      <c r="O21" s="275">
        <f t="shared" si="2"/>
        <v>10.5</v>
      </c>
      <c r="P21" s="275">
        <f t="shared" si="3"/>
        <v>13.06</v>
      </c>
      <c r="Q21" s="275">
        <f t="shared" si="0"/>
        <v>82.56</v>
      </c>
      <c r="R21" s="274"/>
      <c r="S21" s="275">
        <f t="shared" si="4"/>
        <v>82.56</v>
      </c>
      <c r="T21" s="289">
        <f t="shared" si="5"/>
        <v>13.06</v>
      </c>
    </row>
    <row r="22" spans="1:20" ht="12.75">
      <c r="A22" s="269">
        <v>11</v>
      </c>
      <c r="B22" s="449" t="s">
        <v>421</v>
      </c>
      <c r="C22" s="449"/>
      <c r="D22" s="274"/>
      <c r="E22" s="274">
        <v>46</v>
      </c>
      <c r="F22" s="274"/>
      <c r="G22" s="274">
        <v>30.3</v>
      </c>
      <c r="H22" s="274">
        <v>31.5</v>
      </c>
      <c r="I22" s="274"/>
      <c r="J22" s="274"/>
      <c r="K22" s="274">
        <v>38.654</v>
      </c>
      <c r="L22" s="274"/>
      <c r="M22" s="274"/>
      <c r="N22" s="275">
        <f t="shared" si="1"/>
        <v>100.454</v>
      </c>
      <c r="O22" s="275">
        <f t="shared" si="2"/>
        <v>61.8</v>
      </c>
      <c r="P22" s="275">
        <f t="shared" si="3"/>
        <v>38.654</v>
      </c>
      <c r="Q22" s="275">
        <f t="shared" si="0"/>
        <v>146.454</v>
      </c>
      <c r="R22" s="274"/>
      <c r="S22" s="275">
        <f t="shared" si="4"/>
        <v>146.454</v>
      </c>
      <c r="T22" s="289">
        <f t="shared" si="5"/>
        <v>38.654</v>
      </c>
    </row>
    <row r="23" spans="1:20" ht="12.75">
      <c r="A23" s="269">
        <v>12</v>
      </c>
      <c r="B23" s="449" t="s">
        <v>422</v>
      </c>
      <c r="C23" s="449"/>
      <c r="D23" s="274"/>
      <c r="E23" s="274"/>
      <c r="F23" s="274"/>
      <c r="G23" s="274">
        <v>73.7</v>
      </c>
      <c r="H23" s="274">
        <v>51.9</v>
      </c>
      <c r="I23" s="274"/>
      <c r="J23" s="274"/>
      <c r="K23" s="274">
        <v>78.22</v>
      </c>
      <c r="L23" s="274"/>
      <c r="M23" s="274"/>
      <c r="N23" s="275">
        <f t="shared" si="1"/>
        <v>203.82</v>
      </c>
      <c r="O23" s="275">
        <f t="shared" si="2"/>
        <v>125.6</v>
      </c>
      <c r="P23" s="275">
        <f t="shared" si="3"/>
        <v>78.22</v>
      </c>
      <c r="Q23" s="275">
        <f t="shared" si="0"/>
        <v>203.82</v>
      </c>
      <c r="R23" s="274"/>
      <c r="S23" s="275">
        <f t="shared" si="4"/>
        <v>203.82</v>
      </c>
      <c r="T23" s="289">
        <f t="shared" si="5"/>
        <v>78.22</v>
      </c>
    </row>
    <row r="24" spans="1:20" ht="15">
      <c r="A24" s="269">
        <v>13</v>
      </c>
      <c r="B24" s="449" t="s">
        <v>423</v>
      </c>
      <c r="C24" s="451"/>
      <c r="D24" s="274">
        <v>6</v>
      </c>
      <c r="E24" s="274"/>
      <c r="F24" s="274"/>
      <c r="G24" s="274">
        <v>19.290999999999997</v>
      </c>
      <c r="H24" s="274"/>
      <c r="I24" s="274"/>
      <c r="J24" s="274"/>
      <c r="K24" s="274">
        <v>7.38</v>
      </c>
      <c r="L24" s="274"/>
      <c r="M24" s="274"/>
      <c r="N24" s="275">
        <f t="shared" si="1"/>
        <v>26.670999999999996</v>
      </c>
      <c r="O24" s="275">
        <f t="shared" si="2"/>
        <v>19.290999999999997</v>
      </c>
      <c r="P24" s="275">
        <f t="shared" si="3"/>
        <v>7.38</v>
      </c>
      <c r="Q24" s="275">
        <f t="shared" si="0"/>
        <v>32.67099999999999</v>
      </c>
      <c r="R24" s="274"/>
      <c r="S24" s="275">
        <f t="shared" si="4"/>
        <v>32.67099999999999</v>
      </c>
      <c r="T24" s="289">
        <f t="shared" si="5"/>
        <v>7.38</v>
      </c>
    </row>
    <row r="25" spans="1:20" ht="12.75">
      <c r="A25" s="269">
        <v>14</v>
      </c>
      <c r="B25" s="449" t="s">
        <v>172</v>
      </c>
      <c r="C25" s="449"/>
      <c r="D25" s="274"/>
      <c r="E25" s="274"/>
      <c r="F25" s="274"/>
      <c r="G25" s="274">
        <v>22.4</v>
      </c>
      <c r="H25" s="274">
        <v>21</v>
      </c>
      <c r="I25" s="274"/>
      <c r="J25" s="274"/>
      <c r="K25" s="274">
        <v>15.554</v>
      </c>
      <c r="L25" s="274"/>
      <c r="M25" s="274"/>
      <c r="N25" s="275">
        <f t="shared" si="1"/>
        <v>58.954</v>
      </c>
      <c r="O25" s="275">
        <f t="shared" si="2"/>
        <v>43.4</v>
      </c>
      <c r="P25" s="275">
        <f t="shared" si="3"/>
        <v>15.554</v>
      </c>
      <c r="Q25" s="275">
        <f t="shared" si="0"/>
        <v>58.954</v>
      </c>
      <c r="R25" s="274"/>
      <c r="S25" s="275">
        <f t="shared" si="4"/>
        <v>58.954</v>
      </c>
      <c r="T25" s="289">
        <f t="shared" si="5"/>
        <v>15.554</v>
      </c>
    </row>
    <row r="26" spans="1:20" ht="12.75">
      <c r="A26" s="269">
        <v>15</v>
      </c>
      <c r="B26" s="449" t="s">
        <v>424</v>
      </c>
      <c r="C26" s="449"/>
      <c r="D26" s="274">
        <v>100</v>
      </c>
      <c r="E26" s="274"/>
      <c r="F26" s="274"/>
      <c r="G26" s="274">
        <v>52.6</v>
      </c>
      <c r="H26" s="274">
        <v>28.5</v>
      </c>
      <c r="I26" s="274"/>
      <c r="J26" s="274"/>
      <c r="K26" s="274">
        <v>66.628</v>
      </c>
      <c r="L26" s="274"/>
      <c r="M26" s="274"/>
      <c r="N26" s="275">
        <f t="shared" si="1"/>
        <v>147.728</v>
      </c>
      <c r="O26" s="275">
        <f t="shared" si="2"/>
        <v>81.1</v>
      </c>
      <c r="P26" s="275">
        <f t="shared" si="3"/>
        <v>66.628</v>
      </c>
      <c r="Q26" s="275">
        <f t="shared" si="0"/>
        <v>247.728</v>
      </c>
      <c r="R26" s="274"/>
      <c r="S26" s="275">
        <f t="shared" si="4"/>
        <v>247.728</v>
      </c>
      <c r="T26" s="289">
        <f t="shared" si="5"/>
        <v>66.628</v>
      </c>
    </row>
    <row r="27" spans="1:20" ht="12.75">
      <c r="A27" s="269">
        <v>16</v>
      </c>
      <c r="B27" s="449" t="s">
        <v>425</v>
      </c>
      <c r="C27" s="449"/>
      <c r="D27" s="274">
        <v>15</v>
      </c>
      <c r="E27" s="274"/>
      <c r="F27" s="274">
        <v>208</v>
      </c>
      <c r="G27" s="274">
        <f>98.8-9.4</f>
        <v>89.39999999999999</v>
      </c>
      <c r="H27" s="274">
        <f>173-65.699</f>
        <v>107.301</v>
      </c>
      <c r="I27" s="274">
        <f>276.4-31</f>
        <v>245.39999999999998</v>
      </c>
      <c r="J27" s="274"/>
      <c r="K27" s="274">
        <f>120.2-23.543</f>
        <v>96.65700000000001</v>
      </c>
      <c r="L27" s="274"/>
      <c r="M27" s="274"/>
      <c r="N27" s="275">
        <f t="shared" si="1"/>
        <v>538.758</v>
      </c>
      <c r="O27" s="275">
        <f t="shared" si="2"/>
        <v>196.701</v>
      </c>
      <c r="P27" s="275">
        <f t="shared" si="3"/>
        <v>342.057</v>
      </c>
      <c r="Q27" s="275">
        <f t="shared" si="0"/>
        <v>761.758</v>
      </c>
      <c r="R27" s="274"/>
      <c r="S27" s="275">
        <f t="shared" si="4"/>
        <v>761.758</v>
      </c>
      <c r="T27" s="289">
        <f t="shared" si="5"/>
        <v>96.65700000000001</v>
      </c>
    </row>
    <row r="28" spans="1:20" ht="12.75">
      <c r="A28" s="269">
        <v>17</v>
      </c>
      <c r="B28" s="449" t="s">
        <v>427</v>
      </c>
      <c r="C28" s="449"/>
      <c r="D28" s="274"/>
      <c r="E28" s="274">
        <v>45</v>
      </c>
      <c r="F28" s="274"/>
      <c r="G28" s="274">
        <v>11.026</v>
      </c>
      <c r="H28" s="274">
        <v>3</v>
      </c>
      <c r="I28" s="274"/>
      <c r="J28" s="274"/>
      <c r="K28" s="274">
        <v>26.02</v>
      </c>
      <c r="L28" s="274"/>
      <c r="M28" s="274"/>
      <c r="N28" s="275">
        <f t="shared" si="1"/>
        <v>40.046</v>
      </c>
      <c r="O28" s="275">
        <f t="shared" si="2"/>
        <v>14.026</v>
      </c>
      <c r="P28" s="275">
        <f t="shared" si="3"/>
        <v>26.02</v>
      </c>
      <c r="Q28" s="275">
        <f t="shared" si="0"/>
        <v>85.04599999999999</v>
      </c>
      <c r="R28" s="274"/>
      <c r="S28" s="275">
        <f t="shared" si="4"/>
        <v>85.04599999999999</v>
      </c>
      <c r="T28" s="289">
        <f t="shared" si="5"/>
        <v>26.02</v>
      </c>
    </row>
    <row r="29" spans="1:20" ht="12.75">
      <c r="A29" s="269">
        <v>18</v>
      </c>
      <c r="B29" s="449" t="s">
        <v>426</v>
      </c>
      <c r="C29" s="449"/>
      <c r="D29" s="274"/>
      <c r="E29" s="274"/>
      <c r="F29" s="274"/>
      <c r="G29" s="274">
        <v>37.4</v>
      </c>
      <c r="H29" s="274">
        <v>27</v>
      </c>
      <c r="I29" s="274"/>
      <c r="J29" s="274"/>
      <c r="K29" s="274">
        <v>42.59</v>
      </c>
      <c r="L29" s="274"/>
      <c r="M29" s="274"/>
      <c r="N29" s="275">
        <f t="shared" si="1"/>
        <v>106.99000000000001</v>
      </c>
      <c r="O29" s="275">
        <f t="shared" si="2"/>
        <v>64.4</v>
      </c>
      <c r="P29" s="275">
        <f t="shared" si="3"/>
        <v>42.59</v>
      </c>
      <c r="Q29" s="275">
        <f t="shared" si="0"/>
        <v>106.99000000000001</v>
      </c>
      <c r="R29" s="274"/>
      <c r="S29" s="275">
        <f t="shared" si="4"/>
        <v>106.99000000000001</v>
      </c>
      <c r="T29" s="289">
        <f t="shared" si="5"/>
        <v>42.59</v>
      </c>
    </row>
    <row r="30" spans="1:20" ht="12.75">
      <c r="A30" s="269">
        <v>19</v>
      </c>
      <c r="B30" s="449" t="s">
        <v>428</v>
      </c>
      <c r="C30" s="449"/>
      <c r="D30" s="274">
        <v>760</v>
      </c>
      <c r="E30" s="274">
        <v>1500</v>
      </c>
      <c r="F30" s="274"/>
      <c r="G30" s="274">
        <f>183.3-20.7</f>
        <v>162.60000000000002</v>
      </c>
      <c r="H30" s="274">
        <f>186-1.4</f>
        <v>184.6</v>
      </c>
      <c r="I30" s="274">
        <f>600-159</f>
        <v>441</v>
      </c>
      <c r="J30" s="274">
        <v>14.6</v>
      </c>
      <c r="K30" s="274">
        <v>219.5</v>
      </c>
      <c r="L30" s="274"/>
      <c r="M30" s="274"/>
      <c r="N30" s="275">
        <f t="shared" si="1"/>
        <v>1022.3000000000001</v>
      </c>
      <c r="O30" s="275">
        <f t="shared" si="2"/>
        <v>361.8</v>
      </c>
      <c r="P30" s="275">
        <f t="shared" si="3"/>
        <v>660.5</v>
      </c>
      <c r="Q30" s="275">
        <f t="shared" si="0"/>
        <v>3282.3</v>
      </c>
      <c r="R30" s="274"/>
      <c r="S30" s="275">
        <f t="shared" si="4"/>
        <v>3282.3</v>
      </c>
      <c r="T30" s="289">
        <f t="shared" si="5"/>
        <v>234.1</v>
      </c>
    </row>
    <row r="31" spans="1:20" ht="12.75">
      <c r="A31" s="269">
        <v>20</v>
      </c>
      <c r="B31" s="449" t="s">
        <v>429</v>
      </c>
      <c r="C31" s="449"/>
      <c r="D31" s="274">
        <v>35</v>
      </c>
      <c r="E31" s="274"/>
      <c r="F31" s="274"/>
      <c r="G31" s="274">
        <f>206.8-147.4</f>
        <v>59.400000000000006</v>
      </c>
      <c r="H31" s="274">
        <v>430</v>
      </c>
      <c r="I31" s="274">
        <f>887.2-267</f>
        <v>620.2</v>
      </c>
      <c r="J31" s="274"/>
      <c r="K31" s="274">
        <v>266.6</v>
      </c>
      <c r="L31" s="274"/>
      <c r="M31" s="274">
        <f>3800-3800</f>
        <v>0</v>
      </c>
      <c r="N31" s="275">
        <f t="shared" si="1"/>
        <v>1376.2000000000003</v>
      </c>
      <c r="O31" s="275">
        <f t="shared" si="2"/>
        <v>489.4</v>
      </c>
      <c r="P31" s="275">
        <f t="shared" si="3"/>
        <v>886.8000000000001</v>
      </c>
      <c r="Q31" s="275">
        <f t="shared" si="0"/>
        <v>1411.2000000000003</v>
      </c>
      <c r="R31" s="274"/>
      <c r="S31" s="275">
        <f t="shared" si="4"/>
        <v>1411.2000000000003</v>
      </c>
      <c r="T31" s="289">
        <f t="shared" si="5"/>
        <v>266.6</v>
      </c>
    </row>
    <row r="32" spans="1:20" ht="12.75">
      <c r="A32" s="269">
        <v>21</v>
      </c>
      <c r="B32" s="449" t="s">
        <v>430</v>
      </c>
      <c r="C32" s="449"/>
      <c r="D32" s="274">
        <v>32</v>
      </c>
      <c r="E32" s="274"/>
      <c r="F32" s="274"/>
      <c r="G32" s="274">
        <v>20.2</v>
      </c>
      <c r="H32" s="274"/>
      <c r="I32" s="274"/>
      <c r="J32" s="274"/>
      <c r="K32" s="274"/>
      <c r="L32" s="274"/>
      <c r="M32" s="274"/>
      <c r="N32" s="275">
        <f t="shared" si="1"/>
        <v>20.2</v>
      </c>
      <c r="O32" s="275">
        <f t="shared" si="2"/>
        <v>20.2</v>
      </c>
      <c r="P32" s="275">
        <f t="shared" si="3"/>
        <v>0</v>
      </c>
      <c r="Q32" s="275">
        <f t="shared" si="0"/>
        <v>52.2</v>
      </c>
      <c r="R32" s="274"/>
      <c r="S32" s="275">
        <f t="shared" si="4"/>
        <v>52.2</v>
      </c>
      <c r="T32" s="289">
        <f t="shared" si="5"/>
        <v>0</v>
      </c>
    </row>
    <row r="33" spans="1:20" ht="12.75">
      <c r="A33" s="269">
        <v>22</v>
      </c>
      <c r="B33" s="449" t="s">
        <v>431</v>
      </c>
      <c r="C33" s="449"/>
      <c r="D33" s="274">
        <v>40</v>
      </c>
      <c r="E33" s="274">
        <v>20</v>
      </c>
      <c r="F33" s="274">
        <v>100</v>
      </c>
      <c r="G33" s="274">
        <v>42.7</v>
      </c>
      <c r="H33" s="274">
        <v>8.5</v>
      </c>
      <c r="I33" s="274"/>
      <c r="J33" s="274"/>
      <c r="K33" s="274">
        <f>230.3-230.3</f>
        <v>0</v>
      </c>
      <c r="L33" s="274"/>
      <c r="M33" s="274"/>
      <c r="N33" s="275">
        <f t="shared" si="1"/>
        <v>51.2</v>
      </c>
      <c r="O33" s="275">
        <f t="shared" si="2"/>
        <v>51.2</v>
      </c>
      <c r="P33" s="275">
        <f t="shared" si="3"/>
        <v>0</v>
      </c>
      <c r="Q33" s="275">
        <f t="shared" si="0"/>
        <v>211.2</v>
      </c>
      <c r="R33" s="274"/>
      <c r="S33" s="275">
        <f t="shared" si="4"/>
        <v>211.2</v>
      </c>
      <c r="T33" s="289">
        <f t="shared" si="5"/>
        <v>0</v>
      </c>
    </row>
    <row r="34" spans="1:20" ht="12.75">
      <c r="A34" s="269">
        <v>23</v>
      </c>
      <c r="B34" s="449" t="s">
        <v>432</v>
      </c>
      <c r="C34" s="449"/>
      <c r="D34" s="274">
        <v>20</v>
      </c>
      <c r="E34" s="274">
        <v>60</v>
      </c>
      <c r="F34" s="274"/>
      <c r="G34" s="274">
        <v>50</v>
      </c>
      <c r="H34" s="274">
        <v>55.3</v>
      </c>
      <c r="I34" s="274"/>
      <c r="J34" s="274"/>
      <c r="K34" s="274">
        <v>75.6</v>
      </c>
      <c r="L34" s="274">
        <v>45</v>
      </c>
      <c r="M34" s="274"/>
      <c r="N34" s="275">
        <f t="shared" si="1"/>
        <v>225.89999999999998</v>
      </c>
      <c r="O34" s="275">
        <f t="shared" si="2"/>
        <v>150.3</v>
      </c>
      <c r="P34" s="275">
        <f t="shared" si="3"/>
        <v>75.6</v>
      </c>
      <c r="Q34" s="275">
        <f t="shared" si="0"/>
        <v>305.9</v>
      </c>
      <c r="R34" s="274"/>
      <c r="S34" s="275">
        <f t="shared" si="4"/>
        <v>305.9</v>
      </c>
      <c r="T34" s="289">
        <f t="shared" si="5"/>
        <v>75.6</v>
      </c>
    </row>
    <row r="35" spans="1:20" ht="12.75">
      <c r="A35" s="269">
        <v>24</v>
      </c>
      <c r="B35" s="449" t="s">
        <v>433</v>
      </c>
      <c r="C35" s="449"/>
      <c r="D35" s="274">
        <v>65</v>
      </c>
      <c r="E35" s="274"/>
      <c r="F35" s="274"/>
      <c r="G35" s="274">
        <v>49.1</v>
      </c>
      <c r="H35" s="274">
        <v>26.5</v>
      </c>
      <c r="I35" s="274"/>
      <c r="J35" s="274"/>
      <c r="K35" s="274">
        <v>40.4</v>
      </c>
      <c r="L35" s="274"/>
      <c r="M35" s="274"/>
      <c r="N35" s="275">
        <f t="shared" si="1"/>
        <v>116</v>
      </c>
      <c r="O35" s="275">
        <f t="shared" si="2"/>
        <v>75.6</v>
      </c>
      <c r="P35" s="275">
        <f t="shared" si="3"/>
        <v>40.4</v>
      </c>
      <c r="Q35" s="275">
        <f t="shared" si="0"/>
        <v>181</v>
      </c>
      <c r="R35" s="274"/>
      <c r="S35" s="275">
        <f t="shared" si="4"/>
        <v>181</v>
      </c>
      <c r="T35" s="289">
        <f t="shared" si="5"/>
        <v>40.4</v>
      </c>
    </row>
    <row r="36" spans="1:20" ht="12.75">
      <c r="A36" s="269">
        <v>25</v>
      </c>
      <c r="B36" s="449" t="s">
        <v>434</v>
      </c>
      <c r="C36" s="449"/>
      <c r="D36" s="274">
        <v>128</v>
      </c>
      <c r="E36" s="274"/>
      <c r="F36" s="274"/>
      <c r="G36" s="274">
        <f>48.88-0.585</f>
        <v>48.295</v>
      </c>
      <c r="H36" s="274">
        <f>29-29</f>
        <v>0</v>
      </c>
      <c r="I36" s="274"/>
      <c r="J36" s="274">
        <f>8.2-0.132</f>
        <v>8.068</v>
      </c>
      <c r="K36" s="274">
        <f>38.3-38.3</f>
        <v>0</v>
      </c>
      <c r="L36" s="274"/>
      <c r="M36" s="274"/>
      <c r="N36" s="275">
        <f t="shared" si="1"/>
        <v>56.363</v>
      </c>
      <c r="O36" s="275">
        <f t="shared" si="2"/>
        <v>56.363</v>
      </c>
      <c r="P36" s="275">
        <f t="shared" si="3"/>
        <v>0</v>
      </c>
      <c r="Q36" s="275">
        <f t="shared" si="0"/>
        <v>184.363</v>
      </c>
      <c r="R36" s="274"/>
      <c r="S36" s="275">
        <f t="shared" si="4"/>
        <v>184.363</v>
      </c>
      <c r="T36" s="289">
        <f t="shared" si="5"/>
        <v>8.068</v>
      </c>
    </row>
    <row r="37" spans="1:20" ht="12.75">
      <c r="A37" s="269">
        <v>26</v>
      </c>
      <c r="B37" s="449" t="s">
        <v>563</v>
      </c>
      <c r="C37" s="449"/>
      <c r="D37" s="274">
        <v>10</v>
      </c>
      <c r="E37" s="274"/>
      <c r="F37" s="274"/>
      <c r="G37" s="274">
        <v>53.1</v>
      </c>
      <c r="H37" s="274">
        <v>55.2</v>
      </c>
      <c r="I37" s="274"/>
      <c r="J37" s="274"/>
      <c r="K37" s="274">
        <v>357.88</v>
      </c>
      <c r="L37" s="274"/>
      <c r="M37" s="274"/>
      <c r="N37" s="275">
        <f t="shared" si="1"/>
        <v>466.18</v>
      </c>
      <c r="O37" s="275">
        <f t="shared" si="2"/>
        <v>108.30000000000001</v>
      </c>
      <c r="P37" s="275">
        <f t="shared" si="3"/>
        <v>357.88</v>
      </c>
      <c r="Q37" s="275">
        <f t="shared" si="0"/>
        <v>476.18</v>
      </c>
      <c r="R37" s="274"/>
      <c r="S37" s="275">
        <f t="shared" si="4"/>
        <v>476.18</v>
      </c>
      <c r="T37" s="289">
        <f t="shared" si="5"/>
        <v>357.88</v>
      </c>
    </row>
    <row r="38" spans="1:20" ht="12.75">
      <c r="A38" s="269">
        <v>27</v>
      </c>
      <c r="B38" s="449" t="s">
        <v>437</v>
      </c>
      <c r="C38" s="449"/>
      <c r="D38" s="274">
        <v>30</v>
      </c>
      <c r="E38" s="274">
        <v>50</v>
      </c>
      <c r="F38" s="274"/>
      <c r="G38" s="274">
        <v>29.9</v>
      </c>
      <c r="H38" s="274">
        <v>17.3</v>
      </c>
      <c r="I38" s="274"/>
      <c r="J38" s="274"/>
      <c r="K38" s="274">
        <v>40.343999999999994</v>
      </c>
      <c r="L38" s="274"/>
      <c r="M38" s="274"/>
      <c r="N38" s="275">
        <f t="shared" si="1"/>
        <v>87.54399999999998</v>
      </c>
      <c r="O38" s="275">
        <f t="shared" si="2"/>
        <v>47.2</v>
      </c>
      <c r="P38" s="275">
        <f t="shared" si="3"/>
        <v>40.343999999999994</v>
      </c>
      <c r="Q38" s="275">
        <f t="shared" si="0"/>
        <v>167.54399999999998</v>
      </c>
      <c r="R38" s="274"/>
      <c r="S38" s="275">
        <f t="shared" si="4"/>
        <v>167.54399999999998</v>
      </c>
      <c r="T38" s="289">
        <f t="shared" si="5"/>
        <v>40.343999999999994</v>
      </c>
    </row>
    <row r="39" spans="1:20" ht="12.75">
      <c r="A39" s="269">
        <v>28</v>
      </c>
      <c r="B39" s="449" t="s">
        <v>438</v>
      </c>
      <c r="C39" s="449"/>
      <c r="D39" s="274">
        <v>16</v>
      </c>
      <c r="E39" s="274"/>
      <c r="F39" s="274"/>
      <c r="G39" s="274">
        <v>22.7</v>
      </c>
      <c r="H39" s="274">
        <v>16.5</v>
      </c>
      <c r="I39" s="274"/>
      <c r="J39" s="274"/>
      <c r="K39" s="274">
        <v>19.59</v>
      </c>
      <c r="L39" s="274"/>
      <c r="M39" s="274"/>
      <c r="N39" s="275">
        <f t="shared" si="1"/>
        <v>58.790000000000006</v>
      </c>
      <c r="O39" s="275">
        <f t="shared" si="2"/>
        <v>39.2</v>
      </c>
      <c r="P39" s="275">
        <f t="shared" si="3"/>
        <v>19.59</v>
      </c>
      <c r="Q39" s="275">
        <f t="shared" si="0"/>
        <v>74.79</v>
      </c>
      <c r="R39" s="274"/>
      <c r="S39" s="275">
        <f t="shared" si="4"/>
        <v>74.79</v>
      </c>
      <c r="T39" s="289">
        <f t="shared" si="5"/>
        <v>19.59</v>
      </c>
    </row>
    <row r="40" spans="1:20" s="270" customFormat="1" ht="12.75">
      <c r="A40" s="450" t="s">
        <v>564</v>
      </c>
      <c r="B40" s="450"/>
      <c r="C40" s="450"/>
      <c r="D40" s="275">
        <f>SUM(D12:D39)</f>
        <v>1676.8</v>
      </c>
      <c r="E40" s="275">
        <f aca="true" t="shared" si="6" ref="E40:S40">SUM(E12:E39)</f>
        <v>2096</v>
      </c>
      <c r="F40" s="275">
        <f t="shared" si="6"/>
        <v>1008.5</v>
      </c>
      <c r="G40" s="287">
        <f t="shared" si="6"/>
        <v>2530.8869999999997</v>
      </c>
      <c r="H40" s="287">
        <f t="shared" si="6"/>
        <v>3230.613</v>
      </c>
      <c r="I40" s="287">
        <f t="shared" si="6"/>
        <v>6163.499999999999</v>
      </c>
      <c r="J40" s="287">
        <f t="shared" si="6"/>
        <v>97.66799999999999</v>
      </c>
      <c r="K40" s="287">
        <f t="shared" si="6"/>
        <v>3004.256</v>
      </c>
      <c r="L40" s="287">
        <f t="shared" si="6"/>
        <v>1391.61</v>
      </c>
      <c r="M40" s="287">
        <f t="shared" si="6"/>
        <v>0</v>
      </c>
      <c r="N40" s="275">
        <f t="shared" si="1"/>
        <v>16418.534</v>
      </c>
      <c r="O40" s="275">
        <f t="shared" si="2"/>
        <v>7250.777999999999</v>
      </c>
      <c r="P40" s="275">
        <f t="shared" si="3"/>
        <v>9167.756</v>
      </c>
      <c r="Q40" s="275">
        <f t="shared" si="6"/>
        <v>21199.834000000006</v>
      </c>
      <c r="R40" s="275">
        <f t="shared" si="6"/>
        <v>200</v>
      </c>
      <c r="S40" s="275">
        <f t="shared" si="6"/>
        <v>21399.834000000006</v>
      </c>
      <c r="T40" s="289">
        <f t="shared" si="5"/>
        <v>3101.924</v>
      </c>
    </row>
    <row r="41" spans="1:20" ht="12.75">
      <c r="A41" s="269">
        <v>29</v>
      </c>
      <c r="B41" s="449" t="s">
        <v>440</v>
      </c>
      <c r="C41" s="449"/>
      <c r="D41" s="274"/>
      <c r="E41" s="274"/>
      <c r="F41" s="274">
        <v>100</v>
      </c>
      <c r="G41" s="274">
        <v>3.5</v>
      </c>
      <c r="H41" s="274"/>
      <c r="I41" s="274"/>
      <c r="J41" s="274"/>
      <c r="K41" s="274">
        <v>13.5</v>
      </c>
      <c r="L41" s="274"/>
      <c r="M41" s="274"/>
      <c r="N41" s="275">
        <f t="shared" si="1"/>
        <v>17</v>
      </c>
      <c r="O41" s="275">
        <f t="shared" si="2"/>
        <v>3.5</v>
      </c>
      <c r="P41" s="275">
        <f t="shared" si="3"/>
        <v>13.5</v>
      </c>
      <c r="Q41" s="275">
        <f aca="true" t="shared" si="7" ref="Q41:Q57">D41+E41+F41+N41</f>
        <v>117</v>
      </c>
      <c r="R41" s="274"/>
      <c r="S41" s="275">
        <f t="shared" si="4"/>
        <v>117</v>
      </c>
      <c r="T41" s="289">
        <f t="shared" si="5"/>
        <v>13.5</v>
      </c>
    </row>
    <row r="42" spans="1:20" ht="12.75">
      <c r="A42" s="269">
        <v>30</v>
      </c>
      <c r="B42" s="449" t="s">
        <v>441</v>
      </c>
      <c r="C42" s="449"/>
      <c r="D42" s="274">
        <v>15</v>
      </c>
      <c r="E42" s="274">
        <v>60</v>
      </c>
      <c r="F42" s="274"/>
      <c r="G42" s="274">
        <v>15.15</v>
      </c>
      <c r="H42" s="274"/>
      <c r="I42" s="274"/>
      <c r="J42" s="274"/>
      <c r="K42" s="274"/>
      <c r="L42" s="274"/>
      <c r="M42" s="274"/>
      <c r="N42" s="275">
        <f t="shared" si="1"/>
        <v>15.15</v>
      </c>
      <c r="O42" s="275">
        <f t="shared" si="2"/>
        <v>15.15</v>
      </c>
      <c r="P42" s="275">
        <f t="shared" si="3"/>
        <v>0</v>
      </c>
      <c r="Q42" s="275">
        <f t="shared" si="7"/>
        <v>90.15</v>
      </c>
      <c r="R42" s="274"/>
      <c r="S42" s="275">
        <f t="shared" si="4"/>
        <v>90.15</v>
      </c>
      <c r="T42" s="289">
        <f t="shared" si="5"/>
        <v>0</v>
      </c>
    </row>
    <row r="43" spans="1:20" ht="12.75">
      <c r="A43" s="269">
        <v>31</v>
      </c>
      <c r="B43" s="449" t="s">
        <v>565</v>
      </c>
      <c r="C43" s="449"/>
      <c r="D43" s="274"/>
      <c r="E43" s="274"/>
      <c r="F43" s="274"/>
      <c r="G43" s="274">
        <v>0.95</v>
      </c>
      <c r="H43" s="274"/>
      <c r="I43" s="274"/>
      <c r="J43" s="274"/>
      <c r="K43" s="274">
        <f>12.16-8.642</f>
        <v>3.5180000000000007</v>
      </c>
      <c r="L43" s="274"/>
      <c r="M43" s="274"/>
      <c r="N43" s="275">
        <f t="shared" si="1"/>
        <v>4.468000000000001</v>
      </c>
      <c r="O43" s="275">
        <f t="shared" si="2"/>
        <v>0.95</v>
      </c>
      <c r="P43" s="275">
        <f t="shared" si="3"/>
        <v>3.5180000000000007</v>
      </c>
      <c r="Q43" s="275">
        <f t="shared" si="7"/>
        <v>4.468000000000001</v>
      </c>
      <c r="R43" s="274"/>
      <c r="S43" s="275">
        <f t="shared" si="4"/>
        <v>4.468000000000001</v>
      </c>
      <c r="T43" s="289">
        <f t="shared" si="5"/>
        <v>3.5180000000000007</v>
      </c>
    </row>
    <row r="44" spans="1:20" ht="12.75">
      <c r="A44" s="269">
        <v>32</v>
      </c>
      <c r="B44" s="449" t="s">
        <v>566</v>
      </c>
      <c r="C44" s="449"/>
      <c r="D44" s="274">
        <v>40</v>
      </c>
      <c r="E44" s="274"/>
      <c r="F44" s="274"/>
      <c r="G44" s="274">
        <v>6.85</v>
      </c>
      <c r="H44" s="274"/>
      <c r="I44" s="274"/>
      <c r="J44" s="274"/>
      <c r="K44" s="274">
        <v>6</v>
      </c>
      <c r="L44" s="274"/>
      <c r="M44" s="274"/>
      <c r="N44" s="275">
        <f t="shared" si="1"/>
        <v>12.85</v>
      </c>
      <c r="O44" s="275">
        <f t="shared" si="2"/>
        <v>6.85</v>
      </c>
      <c r="P44" s="275">
        <f t="shared" si="3"/>
        <v>6</v>
      </c>
      <c r="Q44" s="275">
        <f t="shared" si="7"/>
        <v>52.85</v>
      </c>
      <c r="R44" s="274"/>
      <c r="S44" s="275">
        <f t="shared" si="4"/>
        <v>52.85</v>
      </c>
      <c r="T44" s="289">
        <f t="shared" si="5"/>
        <v>6</v>
      </c>
    </row>
    <row r="45" spans="1:20" ht="12.75">
      <c r="A45" s="269">
        <v>33</v>
      </c>
      <c r="B45" s="449" t="s">
        <v>567</v>
      </c>
      <c r="C45" s="449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5">
        <f t="shared" si="1"/>
        <v>0</v>
      </c>
      <c r="O45" s="275">
        <f t="shared" si="2"/>
        <v>0</v>
      </c>
      <c r="P45" s="275">
        <f t="shared" si="3"/>
        <v>0</v>
      </c>
      <c r="Q45" s="275">
        <f t="shared" si="7"/>
        <v>0</v>
      </c>
      <c r="R45" s="274"/>
      <c r="S45" s="275">
        <f t="shared" si="4"/>
        <v>0</v>
      </c>
      <c r="T45" s="289">
        <f t="shared" si="5"/>
        <v>0</v>
      </c>
    </row>
    <row r="46" spans="1:20" ht="12.75">
      <c r="A46" s="269">
        <v>34</v>
      </c>
      <c r="B46" s="449" t="s">
        <v>445</v>
      </c>
      <c r="C46" s="449"/>
      <c r="D46" s="274">
        <v>21</v>
      </c>
      <c r="E46" s="274">
        <v>7</v>
      </c>
      <c r="F46" s="274">
        <v>49.5</v>
      </c>
      <c r="G46" s="274"/>
      <c r="H46" s="274"/>
      <c r="I46" s="274"/>
      <c r="J46" s="274"/>
      <c r="K46" s="274">
        <f>15.878-15.126</f>
        <v>0.7520000000000007</v>
      </c>
      <c r="L46" s="274"/>
      <c r="M46" s="274"/>
      <c r="N46" s="275">
        <f t="shared" si="1"/>
        <v>0.7520000000000007</v>
      </c>
      <c r="O46" s="275">
        <f t="shared" si="2"/>
        <v>0</v>
      </c>
      <c r="P46" s="275">
        <f t="shared" si="3"/>
        <v>0.7520000000000007</v>
      </c>
      <c r="Q46" s="275">
        <f t="shared" si="7"/>
        <v>78.252</v>
      </c>
      <c r="R46" s="274"/>
      <c r="S46" s="275">
        <f t="shared" si="4"/>
        <v>78.252</v>
      </c>
      <c r="T46" s="289">
        <f t="shared" si="5"/>
        <v>0.7520000000000007</v>
      </c>
    </row>
    <row r="47" spans="1:20" ht="12.75">
      <c r="A47" s="269">
        <v>35</v>
      </c>
      <c r="B47" s="449" t="s">
        <v>568</v>
      </c>
      <c r="C47" s="449"/>
      <c r="D47" s="274">
        <v>30</v>
      </c>
      <c r="E47" s="274"/>
      <c r="F47" s="274"/>
      <c r="G47" s="274"/>
      <c r="H47" s="274"/>
      <c r="I47" s="274"/>
      <c r="J47" s="274"/>
      <c r="K47" s="274"/>
      <c r="L47" s="274"/>
      <c r="M47" s="274"/>
      <c r="N47" s="275">
        <f t="shared" si="1"/>
        <v>0</v>
      </c>
      <c r="O47" s="275">
        <f t="shared" si="2"/>
        <v>0</v>
      </c>
      <c r="P47" s="275">
        <f t="shared" si="3"/>
        <v>0</v>
      </c>
      <c r="Q47" s="275">
        <f t="shared" si="7"/>
        <v>30</v>
      </c>
      <c r="R47" s="274"/>
      <c r="S47" s="275">
        <f t="shared" si="4"/>
        <v>30</v>
      </c>
      <c r="T47" s="289">
        <f t="shared" si="5"/>
        <v>0</v>
      </c>
    </row>
    <row r="48" spans="1:20" ht="12.75">
      <c r="A48" s="269">
        <v>36</v>
      </c>
      <c r="B48" s="449" t="s">
        <v>569</v>
      </c>
      <c r="C48" s="449"/>
      <c r="D48" s="274">
        <v>50</v>
      </c>
      <c r="E48" s="274">
        <v>20</v>
      </c>
      <c r="F48" s="274"/>
      <c r="G48" s="274"/>
      <c r="H48" s="274"/>
      <c r="I48" s="274"/>
      <c r="J48" s="274"/>
      <c r="K48" s="274"/>
      <c r="L48" s="274"/>
      <c r="M48" s="274"/>
      <c r="N48" s="275">
        <f t="shared" si="1"/>
        <v>0</v>
      </c>
      <c r="O48" s="275">
        <f t="shared" si="2"/>
        <v>0</v>
      </c>
      <c r="P48" s="275">
        <f t="shared" si="3"/>
        <v>0</v>
      </c>
      <c r="Q48" s="275">
        <f t="shared" si="7"/>
        <v>70</v>
      </c>
      <c r="R48" s="274"/>
      <c r="S48" s="275">
        <f t="shared" si="4"/>
        <v>70</v>
      </c>
      <c r="T48" s="289">
        <f t="shared" si="5"/>
        <v>0</v>
      </c>
    </row>
    <row r="49" spans="1:20" ht="12.75">
      <c r="A49" s="269">
        <v>37</v>
      </c>
      <c r="B49" s="449" t="s">
        <v>448</v>
      </c>
      <c r="C49" s="449"/>
      <c r="D49" s="274">
        <v>105</v>
      </c>
      <c r="E49" s="274">
        <v>50</v>
      </c>
      <c r="F49" s="274"/>
      <c r="G49" s="274">
        <v>12.882</v>
      </c>
      <c r="H49" s="274"/>
      <c r="I49" s="274"/>
      <c r="J49" s="274"/>
      <c r="K49" s="274">
        <f>23.72-23.72</f>
        <v>0</v>
      </c>
      <c r="L49" s="274"/>
      <c r="M49" s="274"/>
      <c r="N49" s="275">
        <f t="shared" si="1"/>
        <v>12.882</v>
      </c>
      <c r="O49" s="275">
        <f t="shared" si="2"/>
        <v>12.882</v>
      </c>
      <c r="P49" s="275">
        <f t="shared" si="3"/>
        <v>0</v>
      </c>
      <c r="Q49" s="275">
        <f t="shared" si="7"/>
        <v>167.882</v>
      </c>
      <c r="R49" s="274"/>
      <c r="S49" s="275">
        <f t="shared" si="4"/>
        <v>167.882</v>
      </c>
      <c r="T49" s="289">
        <f t="shared" si="5"/>
        <v>0</v>
      </c>
    </row>
    <row r="50" spans="1:20" ht="12.75">
      <c r="A50" s="269">
        <v>38</v>
      </c>
      <c r="B50" s="449" t="s">
        <v>570</v>
      </c>
      <c r="C50" s="449"/>
      <c r="D50" s="274">
        <v>50</v>
      </c>
      <c r="E50" s="274">
        <v>25</v>
      </c>
      <c r="F50" s="274">
        <v>15</v>
      </c>
      <c r="G50" s="274">
        <v>0.8</v>
      </c>
      <c r="H50" s="274"/>
      <c r="I50" s="274"/>
      <c r="J50" s="274"/>
      <c r="K50" s="274">
        <v>10.04</v>
      </c>
      <c r="L50" s="274"/>
      <c r="M50" s="274"/>
      <c r="N50" s="275">
        <f t="shared" si="1"/>
        <v>10.84</v>
      </c>
      <c r="O50" s="275">
        <f t="shared" si="2"/>
        <v>0.8</v>
      </c>
      <c r="P50" s="275">
        <f t="shared" si="3"/>
        <v>10.04</v>
      </c>
      <c r="Q50" s="275">
        <f t="shared" si="7"/>
        <v>100.84</v>
      </c>
      <c r="R50" s="274"/>
      <c r="S50" s="275">
        <f t="shared" si="4"/>
        <v>100.84</v>
      </c>
      <c r="T50" s="289">
        <f t="shared" si="5"/>
        <v>10.04</v>
      </c>
    </row>
    <row r="51" spans="1:20" ht="12.75">
      <c r="A51" s="269">
        <v>39</v>
      </c>
      <c r="B51" s="449" t="s">
        <v>571</v>
      </c>
      <c r="C51" s="449"/>
      <c r="D51" s="274">
        <v>39</v>
      </c>
      <c r="E51" s="274"/>
      <c r="F51" s="274"/>
      <c r="G51" s="274"/>
      <c r="H51" s="274"/>
      <c r="I51" s="274"/>
      <c r="J51" s="274"/>
      <c r="K51" s="274"/>
      <c r="L51" s="274"/>
      <c r="M51" s="274"/>
      <c r="N51" s="275">
        <f t="shared" si="1"/>
        <v>0</v>
      </c>
      <c r="O51" s="275">
        <f t="shared" si="2"/>
        <v>0</v>
      </c>
      <c r="P51" s="275">
        <f t="shared" si="3"/>
        <v>0</v>
      </c>
      <c r="Q51" s="275">
        <f t="shared" si="7"/>
        <v>39</v>
      </c>
      <c r="R51" s="274"/>
      <c r="S51" s="275">
        <f t="shared" si="4"/>
        <v>39</v>
      </c>
      <c r="T51" s="289">
        <f t="shared" si="5"/>
        <v>0</v>
      </c>
    </row>
    <row r="52" spans="1:20" ht="12.75">
      <c r="A52" s="269">
        <v>40</v>
      </c>
      <c r="B52" s="449" t="s">
        <v>572</v>
      </c>
      <c r="C52" s="449"/>
      <c r="D52" s="274"/>
      <c r="E52" s="274"/>
      <c r="F52" s="274"/>
      <c r="G52" s="274">
        <v>2.5</v>
      </c>
      <c r="H52" s="274"/>
      <c r="I52" s="274"/>
      <c r="J52" s="274"/>
      <c r="K52" s="274">
        <v>0.692</v>
      </c>
      <c r="L52" s="274"/>
      <c r="M52" s="274"/>
      <c r="N52" s="275">
        <f t="shared" si="1"/>
        <v>3.192</v>
      </c>
      <c r="O52" s="275">
        <f t="shared" si="2"/>
        <v>2.5</v>
      </c>
      <c r="P52" s="275">
        <f t="shared" si="3"/>
        <v>0.692</v>
      </c>
      <c r="Q52" s="275">
        <f t="shared" si="7"/>
        <v>3.192</v>
      </c>
      <c r="R52" s="274"/>
      <c r="S52" s="275">
        <f t="shared" si="4"/>
        <v>3.192</v>
      </c>
      <c r="T52" s="289">
        <f t="shared" si="5"/>
        <v>0.692</v>
      </c>
    </row>
    <row r="53" spans="1:20" ht="12.75">
      <c r="A53" s="269">
        <v>41</v>
      </c>
      <c r="B53" s="449" t="s">
        <v>573</v>
      </c>
      <c r="C53" s="449"/>
      <c r="D53" s="274">
        <v>50</v>
      </c>
      <c r="E53" s="274">
        <v>60</v>
      </c>
      <c r="F53" s="274"/>
      <c r="G53" s="274"/>
      <c r="H53" s="274"/>
      <c r="I53" s="274"/>
      <c r="J53" s="274"/>
      <c r="K53" s="274"/>
      <c r="L53" s="274"/>
      <c r="M53" s="274"/>
      <c r="N53" s="275">
        <f t="shared" si="1"/>
        <v>0</v>
      </c>
      <c r="O53" s="275">
        <f t="shared" si="2"/>
        <v>0</v>
      </c>
      <c r="P53" s="275">
        <f t="shared" si="3"/>
        <v>0</v>
      </c>
      <c r="Q53" s="275">
        <f t="shared" si="7"/>
        <v>110</v>
      </c>
      <c r="R53" s="274"/>
      <c r="S53" s="275">
        <f t="shared" si="4"/>
        <v>110</v>
      </c>
      <c r="T53" s="289">
        <f t="shared" si="5"/>
        <v>0</v>
      </c>
    </row>
    <row r="54" spans="1:20" ht="12.75">
      <c r="A54" s="269">
        <v>42</v>
      </c>
      <c r="B54" s="449" t="s">
        <v>574</v>
      </c>
      <c r="C54" s="449"/>
      <c r="D54" s="274">
        <v>17.5</v>
      </c>
      <c r="E54" s="274">
        <v>30</v>
      </c>
      <c r="F54" s="274"/>
      <c r="G54" s="274"/>
      <c r="H54" s="274"/>
      <c r="I54" s="274"/>
      <c r="J54" s="274"/>
      <c r="K54" s="274"/>
      <c r="L54" s="274"/>
      <c r="M54" s="274"/>
      <c r="N54" s="275">
        <f t="shared" si="1"/>
        <v>0</v>
      </c>
      <c r="O54" s="275">
        <f t="shared" si="2"/>
        <v>0</v>
      </c>
      <c r="P54" s="275">
        <f t="shared" si="3"/>
        <v>0</v>
      </c>
      <c r="Q54" s="275">
        <f t="shared" si="7"/>
        <v>47.5</v>
      </c>
      <c r="R54" s="274"/>
      <c r="S54" s="275">
        <f t="shared" si="4"/>
        <v>47.5</v>
      </c>
      <c r="T54" s="289">
        <f t="shared" si="5"/>
        <v>0</v>
      </c>
    </row>
    <row r="55" spans="1:20" ht="12.75">
      <c r="A55" s="269">
        <v>43</v>
      </c>
      <c r="B55" s="449" t="s">
        <v>575</v>
      </c>
      <c r="C55" s="449"/>
      <c r="D55" s="274">
        <v>25</v>
      </c>
      <c r="E55" s="274">
        <v>22</v>
      </c>
      <c r="F55" s="274">
        <v>35</v>
      </c>
      <c r="G55" s="274">
        <v>1</v>
      </c>
      <c r="H55" s="274"/>
      <c r="I55" s="274"/>
      <c r="J55" s="274"/>
      <c r="K55" s="274">
        <v>8.62</v>
      </c>
      <c r="L55" s="274"/>
      <c r="M55" s="274"/>
      <c r="N55" s="275">
        <f t="shared" si="1"/>
        <v>9.62</v>
      </c>
      <c r="O55" s="275">
        <f t="shared" si="2"/>
        <v>1</v>
      </c>
      <c r="P55" s="275">
        <f t="shared" si="3"/>
        <v>8.62</v>
      </c>
      <c r="Q55" s="275">
        <f t="shared" si="7"/>
        <v>91.62</v>
      </c>
      <c r="R55" s="274"/>
      <c r="S55" s="275">
        <f t="shared" si="4"/>
        <v>91.62</v>
      </c>
      <c r="T55" s="289">
        <f t="shared" si="5"/>
        <v>8.62</v>
      </c>
    </row>
    <row r="56" spans="1:20" ht="12.75">
      <c r="A56" s="269">
        <v>44</v>
      </c>
      <c r="B56" s="449" t="s">
        <v>576</v>
      </c>
      <c r="C56" s="449"/>
      <c r="D56" s="274">
        <v>20</v>
      </c>
      <c r="E56" s="274"/>
      <c r="F56" s="274"/>
      <c r="G56" s="274"/>
      <c r="H56" s="274"/>
      <c r="I56" s="274"/>
      <c r="J56" s="274"/>
      <c r="K56" s="274"/>
      <c r="L56" s="274"/>
      <c r="M56" s="274"/>
      <c r="N56" s="275">
        <f t="shared" si="1"/>
        <v>0</v>
      </c>
      <c r="O56" s="275">
        <f t="shared" si="2"/>
        <v>0</v>
      </c>
      <c r="P56" s="275">
        <f t="shared" si="3"/>
        <v>0</v>
      </c>
      <c r="Q56" s="275">
        <f t="shared" si="7"/>
        <v>20</v>
      </c>
      <c r="R56" s="274"/>
      <c r="S56" s="275">
        <f>Q56+R56</f>
        <v>20</v>
      </c>
      <c r="T56" s="289">
        <f t="shared" si="5"/>
        <v>0</v>
      </c>
    </row>
    <row r="57" spans="1:20" ht="12.75">
      <c r="A57" s="269">
        <v>45</v>
      </c>
      <c r="B57" s="449" t="s">
        <v>455</v>
      </c>
      <c r="C57" s="449"/>
      <c r="D57" s="274">
        <v>25</v>
      </c>
      <c r="E57" s="274"/>
      <c r="F57" s="274"/>
      <c r="G57" s="274"/>
      <c r="H57" s="274"/>
      <c r="I57" s="274"/>
      <c r="J57" s="274"/>
      <c r="K57" s="274">
        <v>7.725</v>
      </c>
      <c r="L57" s="274"/>
      <c r="M57" s="274"/>
      <c r="N57" s="275">
        <f t="shared" si="1"/>
        <v>7.725</v>
      </c>
      <c r="O57" s="275">
        <f t="shared" si="2"/>
        <v>0</v>
      </c>
      <c r="P57" s="275">
        <f t="shared" si="3"/>
        <v>7.725</v>
      </c>
      <c r="Q57" s="275">
        <f t="shared" si="7"/>
        <v>32.725</v>
      </c>
      <c r="R57" s="274"/>
      <c r="S57" s="275">
        <f t="shared" si="4"/>
        <v>32.725</v>
      </c>
      <c r="T57" s="289">
        <f t="shared" si="5"/>
        <v>7.725</v>
      </c>
    </row>
    <row r="58" spans="1:20" s="270" customFormat="1" ht="12.75">
      <c r="A58" s="441" t="s">
        <v>577</v>
      </c>
      <c r="B58" s="441"/>
      <c r="C58" s="441"/>
      <c r="D58" s="275">
        <f aca="true" t="shared" si="8" ref="D58:M58">SUM(D41:D57)</f>
        <v>487.5</v>
      </c>
      <c r="E58" s="275">
        <f t="shared" si="8"/>
        <v>274</v>
      </c>
      <c r="F58" s="275">
        <f t="shared" si="8"/>
        <v>199.5</v>
      </c>
      <c r="G58" s="287">
        <f t="shared" si="8"/>
        <v>43.63199999999999</v>
      </c>
      <c r="H58" s="287">
        <f t="shared" si="8"/>
        <v>0</v>
      </c>
      <c r="I58" s="287">
        <f t="shared" si="8"/>
        <v>0</v>
      </c>
      <c r="J58" s="287">
        <f t="shared" si="8"/>
        <v>0</v>
      </c>
      <c r="K58" s="287">
        <f t="shared" si="8"/>
        <v>50.847</v>
      </c>
      <c r="L58" s="287">
        <f t="shared" si="8"/>
        <v>0</v>
      </c>
      <c r="M58" s="287">
        <f t="shared" si="8"/>
        <v>0</v>
      </c>
      <c r="N58" s="275">
        <f t="shared" si="1"/>
        <v>94.47899999999998</v>
      </c>
      <c r="O58" s="275">
        <f t="shared" si="2"/>
        <v>43.63199999999999</v>
      </c>
      <c r="P58" s="275">
        <f t="shared" si="3"/>
        <v>50.847</v>
      </c>
      <c r="Q58" s="275">
        <f>SUM(Q41:Q57)</f>
        <v>1055.479</v>
      </c>
      <c r="R58" s="275">
        <f>SUM(R41:R57)</f>
        <v>0</v>
      </c>
      <c r="S58" s="275">
        <f>SUM(S41:S57)</f>
        <v>1055.479</v>
      </c>
      <c r="T58" s="289">
        <f t="shared" si="5"/>
        <v>50.847</v>
      </c>
    </row>
    <row r="59" spans="1:20" s="270" customFormat="1" ht="12.75">
      <c r="A59" s="441" t="s">
        <v>578</v>
      </c>
      <c r="B59" s="441"/>
      <c r="C59" s="441"/>
      <c r="D59" s="275">
        <f aca="true" t="shared" si="9" ref="D59:M59">D58+D40</f>
        <v>2164.3</v>
      </c>
      <c r="E59" s="275">
        <f t="shared" si="9"/>
        <v>2370</v>
      </c>
      <c r="F59" s="275">
        <f t="shared" si="9"/>
        <v>1208</v>
      </c>
      <c r="G59" s="287">
        <f t="shared" si="9"/>
        <v>2574.519</v>
      </c>
      <c r="H59" s="287">
        <f t="shared" si="9"/>
        <v>3230.613</v>
      </c>
      <c r="I59" s="287">
        <f t="shared" si="9"/>
        <v>6163.499999999999</v>
      </c>
      <c r="J59" s="287">
        <f t="shared" si="9"/>
        <v>97.66799999999999</v>
      </c>
      <c r="K59" s="287">
        <f t="shared" si="9"/>
        <v>3055.103</v>
      </c>
      <c r="L59" s="287">
        <f t="shared" si="9"/>
        <v>1391.61</v>
      </c>
      <c r="M59" s="287">
        <f t="shared" si="9"/>
        <v>0</v>
      </c>
      <c r="N59" s="275">
        <f t="shared" si="1"/>
        <v>16513.012999999995</v>
      </c>
      <c r="O59" s="275">
        <f>L59+J59+H59+G59</f>
        <v>7294.41</v>
      </c>
      <c r="P59" s="275">
        <f t="shared" si="3"/>
        <v>9218.603</v>
      </c>
      <c r="Q59" s="275">
        <f>Q58+Q40</f>
        <v>22255.313000000006</v>
      </c>
      <c r="R59" s="275">
        <f>R58+R40</f>
        <v>200</v>
      </c>
      <c r="S59" s="275">
        <f>S58+S40</f>
        <v>22455.313000000006</v>
      </c>
      <c r="T59" s="289">
        <f>J59+K59</f>
        <v>3152.771</v>
      </c>
    </row>
    <row r="60" spans="8:19" ht="12.75">
      <c r="H60" s="289">
        <f>D59+E59+F59+3395.2+2787.329+117.35+1391.61+200</f>
        <v>13633.789</v>
      </c>
      <c r="Q60" s="328">
        <f>N59+F59+E59++D59</f>
        <v>22255.312999999995</v>
      </c>
      <c r="S60" s="266">
        <f>'[2]№6'!$O$58</f>
        <v>27471.244000000002</v>
      </c>
    </row>
    <row r="61" spans="6:19" ht="12.75">
      <c r="F61" s="289"/>
      <c r="S61" s="289">
        <f>S60-S59</f>
        <v>5015.930999999997</v>
      </c>
    </row>
    <row r="62" ht="12.75">
      <c r="O62" s="289">
        <f>O59+D59+E59+F59</f>
        <v>13036.71</v>
      </c>
    </row>
  </sheetData>
  <autoFilter ref="S12:S59"/>
  <mergeCells count="72">
    <mergeCell ref="N6:P6"/>
    <mergeCell ref="F6:I6"/>
    <mergeCell ref="I9:I10"/>
    <mergeCell ref="J9:K10"/>
    <mergeCell ref="L9:M10"/>
    <mergeCell ref="N9:P10"/>
    <mergeCell ref="G8:P8"/>
    <mergeCell ref="F7:P7"/>
    <mergeCell ref="A4:S4"/>
    <mergeCell ref="R9:R10"/>
    <mergeCell ref="C8:C9"/>
    <mergeCell ref="B8:B9"/>
    <mergeCell ref="D8:D10"/>
    <mergeCell ref="E8:E10"/>
    <mergeCell ref="F8:F10"/>
    <mergeCell ref="Q6:Q11"/>
    <mergeCell ref="R7:R8"/>
    <mergeCell ref="S6:S11"/>
    <mergeCell ref="B12:C12"/>
    <mergeCell ref="G9:G10"/>
    <mergeCell ref="H9:H10"/>
    <mergeCell ref="B13:C13"/>
    <mergeCell ref="B11:C1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44:C44"/>
    <mergeCell ref="B45:C45"/>
    <mergeCell ref="B51:C51"/>
    <mergeCell ref="B52:C52"/>
    <mergeCell ref="B53:C53"/>
    <mergeCell ref="B46:C46"/>
    <mergeCell ref="B47:C47"/>
    <mergeCell ref="B48:C48"/>
    <mergeCell ref="B49:C49"/>
    <mergeCell ref="A58:C58"/>
    <mergeCell ref="A59:C59"/>
    <mergeCell ref="A6:A10"/>
    <mergeCell ref="B7:C7"/>
    <mergeCell ref="B6:C6"/>
    <mergeCell ref="B54:C54"/>
    <mergeCell ref="B55:C55"/>
    <mergeCell ref="B56:C56"/>
    <mergeCell ref="B57:C57"/>
    <mergeCell ref="B50:C50"/>
  </mergeCells>
  <printOptions/>
  <pageMargins left="0.81" right="0.2" top="0.37" bottom="0.14" header="0.5118110236220472" footer="0.22"/>
  <pageSetup fitToHeight="1" fitToWidth="1" horizontalDpi="600" verticalDpi="600" orientation="landscape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85" zoomScaleSheetLayoutView="85" workbookViewId="0" topLeftCell="A19">
      <selection activeCell="A21" sqref="A21:B29"/>
    </sheetView>
  </sheetViews>
  <sheetFormatPr defaultColWidth="9.00390625" defaultRowHeight="12.75"/>
  <cols>
    <col min="1" max="1" width="51.75390625" style="280" customWidth="1"/>
    <col min="2" max="2" width="65.75390625" style="280" customWidth="1"/>
    <col min="3" max="3" width="66.25390625" style="280" customWidth="1"/>
    <col min="4" max="4" width="19.375" style="280" customWidth="1"/>
    <col min="5" max="16384" width="9.125" style="280" customWidth="1"/>
  </cols>
  <sheetData>
    <row r="1" s="160" customFormat="1" ht="13.5" customHeight="1">
      <c r="C1" s="284" t="s">
        <v>501</v>
      </c>
    </row>
    <row r="2" s="160" customFormat="1" ht="15">
      <c r="C2" s="284" t="s">
        <v>231</v>
      </c>
    </row>
    <row r="3" s="160" customFormat="1" ht="15">
      <c r="C3" s="284" t="s">
        <v>91</v>
      </c>
    </row>
    <row r="4" spans="3:4" s="160" customFormat="1" ht="15">
      <c r="C4" s="332"/>
      <c r="D4" s="284"/>
    </row>
    <row r="5" spans="3:4" s="160" customFormat="1" ht="12.75">
      <c r="C5" s="332"/>
      <c r="D5" s="261"/>
    </row>
    <row r="6" spans="1:4" ht="15">
      <c r="A6" s="488" t="s">
        <v>503</v>
      </c>
      <c r="B6" s="488"/>
      <c r="C6" s="488"/>
      <c r="D6" s="488"/>
    </row>
    <row r="8" spans="1:4" ht="15">
      <c r="A8" s="489" t="s">
        <v>489</v>
      </c>
      <c r="B8" s="489"/>
      <c r="C8" s="282" t="s">
        <v>490</v>
      </c>
      <c r="D8" s="282" t="s">
        <v>491</v>
      </c>
    </row>
    <row r="9" spans="1:4" ht="30">
      <c r="A9" s="489" t="s">
        <v>492</v>
      </c>
      <c r="B9" s="282" t="s">
        <v>3</v>
      </c>
      <c r="C9" s="282" t="s">
        <v>493</v>
      </c>
      <c r="D9" s="283">
        <f>157611-649.5</f>
        <v>156961.5</v>
      </c>
    </row>
    <row r="10" spans="1:4" ht="60">
      <c r="A10" s="489"/>
      <c r="B10" s="282" t="s">
        <v>135</v>
      </c>
      <c r="C10" s="282" t="s">
        <v>494</v>
      </c>
      <c r="D10" s="283">
        <v>10889</v>
      </c>
    </row>
    <row r="11" spans="1:18" ht="30">
      <c r="A11" s="489" t="s">
        <v>495</v>
      </c>
      <c r="B11" s="489"/>
      <c r="C11" s="282" t="s">
        <v>496</v>
      </c>
      <c r="D11" s="282">
        <v>18000</v>
      </c>
      <c r="E11" s="333"/>
      <c r="F11" s="333"/>
      <c r="G11" s="333"/>
      <c r="H11" s="333"/>
      <c r="J11" s="333"/>
      <c r="L11" s="333"/>
      <c r="O11" s="333"/>
      <c r="R11" s="333"/>
    </row>
    <row r="12" spans="1:4" ht="30">
      <c r="A12" s="489" t="s">
        <v>134</v>
      </c>
      <c r="B12" s="489"/>
      <c r="C12" s="282" t="s">
        <v>500</v>
      </c>
      <c r="D12" s="283">
        <v>3350</v>
      </c>
    </row>
    <row r="13" spans="1:4" ht="15" customHeight="1">
      <c r="A13" s="489" t="s">
        <v>497</v>
      </c>
      <c r="B13" s="489"/>
      <c r="C13" s="282" t="s">
        <v>260</v>
      </c>
      <c r="D13" s="283">
        <v>300</v>
      </c>
    </row>
    <row r="14" spans="1:4" ht="15">
      <c r="A14" s="489"/>
      <c r="B14" s="489"/>
      <c r="C14" s="282" t="s">
        <v>192</v>
      </c>
      <c r="D14" s="283">
        <f>400+800</f>
        <v>1200</v>
      </c>
    </row>
    <row r="15" spans="1:4" ht="30">
      <c r="A15" s="489"/>
      <c r="B15" s="489"/>
      <c r="C15" s="282" t="s">
        <v>498</v>
      </c>
      <c r="D15" s="283">
        <v>30</v>
      </c>
    </row>
    <row r="16" spans="1:4" ht="30">
      <c r="A16" s="489"/>
      <c r="B16" s="489"/>
      <c r="C16" s="282" t="s">
        <v>499</v>
      </c>
      <c r="D16" s="283">
        <f>30+86.3</f>
        <v>116.3</v>
      </c>
    </row>
    <row r="17" spans="1:4" ht="30">
      <c r="A17" s="489"/>
      <c r="B17" s="489"/>
      <c r="C17" s="282" t="s">
        <v>493</v>
      </c>
      <c r="D17" s="283">
        <v>60</v>
      </c>
    </row>
    <row r="18" spans="1:4" ht="30">
      <c r="A18" s="489"/>
      <c r="B18" s="489"/>
      <c r="C18" s="282" t="s">
        <v>518</v>
      </c>
      <c r="D18" s="283">
        <v>30</v>
      </c>
    </row>
    <row r="19" spans="1:4" ht="30">
      <c r="A19" s="489"/>
      <c r="B19" s="489"/>
      <c r="C19" s="282" t="s">
        <v>500</v>
      </c>
      <c r="D19" s="283">
        <v>30</v>
      </c>
    </row>
    <row r="20" spans="1:4" ht="30">
      <c r="A20" s="489" t="s">
        <v>57</v>
      </c>
      <c r="B20" s="489"/>
      <c r="C20" s="282" t="s">
        <v>500</v>
      </c>
      <c r="D20" s="283">
        <v>100</v>
      </c>
    </row>
    <row r="21" spans="1:4" ht="15">
      <c r="A21" s="491" t="s">
        <v>399</v>
      </c>
      <c r="B21" s="492"/>
      <c r="C21" s="282" t="s">
        <v>510</v>
      </c>
      <c r="D21" s="283">
        <v>798.8</v>
      </c>
    </row>
    <row r="22" spans="1:4" ht="30">
      <c r="A22" s="493"/>
      <c r="B22" s="494"/>
      <c r="C22" s="282" t="s">
        <v>511</v>
      </c>
      <c r="D22" s="283">
        <v>270</v>
      </c>
    </row>
    <row r="23" spans="1:4" ht="15">
      <c r="A23" s="493"/>
      <c r="B23" s="494"/>
      <c r="C23" s="282" t="s">
        <v>512</v>
      </c>
      <c r="D23" s="335">
        <v>475</v>
      </c>
    </row>
    <row r="24" spans="1:4" ht="30">
      <c r="A24" s="493"/>
      <c r="B24" s="494"/>
      <c r="C24" s="282" t="s">
        <v>241</v>
      </c>
      <c r="D24" s="335">
        <v>25</v>
      </c>
    </row>
    <row r="25" spans="1:4" ht="30">
      <c r="A25" s="493"/>
      <c r="B25" s="494"/>
      <c r="C25" s="282" t="s">
        <v>513</v>
      </c>
      <c r="D25" s="283">
        <v>294.2</v>
      </c>
    </row>
    <row r="26" spans="1:4" ht="15">
      <c r="A26" s="493"/>
      <c r="B26" s="494"/>
      <c r="C26" s="282" t="s">
        <v>514</v>
      </c>
      <c r="D26" s="283">
        <v>1500</v>
      </c>
    </row>
    <row r="27" spans="1:4" ht="30">
      <c r="A27" s="493"/>
      <c r="B27" s="494"/>
      <c r="C27" s="282" t="s">
        <v>515</v>
      </c>
      <c r="D27" s="283">
        <v>100</v>
      </c>
    </row>
    <row r="28" spans="1:4" ht="30">
      <c r="A28" s="493"/>
      <c r="B28" s="494"/>
      <c r="C28" s="282" t="s">
        <v>516</v>
      </c>
      <c r="D28" s="283">
        <v>592.5</v>
      </c>
    </row>
    <row r="29" spans="1:4" ht="15">
      <c r="A29" s="495"/>
      <c r="B29" s="496"/>
      <c r="C29" s="282" t="s">
        <v>395</v>
      </c>
      <c r="D29" s="283">
        <v>200</v>
      </c>
    </row>
    <row r="30" spans="1:4" ht="15">
      <c r="A30" s="490" t="s">
        <v>502</v>
      </c>
      <c r="B30" s="490"/>
      <c r="C30" s="490"/>
      <c r="D30" s="339">
        <f>D9+D10+D11+D12+D14+D15+D16+D17+D18+D19+D21+D22+D23+D25+D26+D27+D28+D13+D20+D24+D29</f>
        <v>195322.3</v>
      </c>
    </row>
    <row r="31" ht="15">
      <c r="D31" s="281"/>
    </row>
    <row r="32" ht="15">
      <c r="D32" s="281"/>
    </row>
    <row r="33" ht="15">
      <c r="D33" s="281"/>
    </row>
    <row r="34" ht="15">
      <c r="D34" s="281"/>
    </row>
    <row r="35" ht="15">
      <c r="D35" s="281"/>
    </row>
    <row r="36" ht="15">
      <c r="D36" s="281"/>
    </row>
    <row r="37" ht="15">
      <c r="D37" s="281"/>
    </row>
    <row r="38" ht="15">
      <c r="D38" s="281"/>
    </row>
    <row r="39" ht="15">
      <c r="D39" s="281"/>
    </row>
    <row r="40" ht="15">
      <c r="D40" s="281"/>
    </row>
    <row r="41" ht="15">
      <c r="D41" s="281"/>
    </row>
    <row r="42" ht="15">
      <c r="D42" s="281"/>
    </row>
    <row r="43" ht="15">
      <c r="D43" s="281"/>
    </row>
    <row r="44" ht="15">
      <c r="D44" s="281"/>
    </row>
    <row r="45" ht="15">
      <c r="D45" s="281"/>
    </row>
    <row r="46" ht="15">
      <c r="D46" s="281"/>
    </row>
    <row r="47" ht="15">
      <c r="D47" s="281"/>
    </row>
    <row r="48" ht="15">
      <c r="D48" s="281"/>
    </row>
    <row r="49" ht="15">
      <c r="D49" s="281"/>
    </row>
    <row r="50" ht="15">
      <c r="D50" s="281"/>
    </row>
    <row r="51" ht="15">
      <c r="D51" s="281"/>
    </row>
    <row r="52" ht="15">
      <c r="D52" s="281"/>
    </row>
    <row r="53" ht="15">
      <c r="D53" s="281"/>
    </row>
    <row r="54" ht="15">
      <c r="D54" s="281"/>
    </row>
    <row r="55" ht="15">
      <c r="D55" s="281"/>
    </row>
    <row r="56" ht="15">
      <c r="D56" s="281"/>
    </row>
    <row r="57" ht="15">
      <c r="D57" s="281"/>
    </row>
    <row r="58" ht="15">
      <c r="D58" s="281"/>
    </row>
    <row r="59" ht="15">
      <c r="D59" s="281"/>
    </row>
    <row r="60" ht="15">
      <c r="D60" s="281"/>
    </row>
    <row r="61" ht="15">
      <c r="D61" s="281"/>
    </row>
    <row r="62" ht="15">
      <c r="D62" s="281"/>
    </row>
    <row r="63" ht="15">
      <c r="D63" s="281"/>
    </row>
    <row r="64" ht="15">
      <c r="D64" s="281"/>
    </row>
    <row r="65" ht="15">
      <c r="D65" s="281"/>
    </row>
    <row r="66" ht="15">
      <c r="D66" s="281"/>
    </row>
    <row r="67" ht="15">
      <c r="D67" s="281"/>
    </row>
    <row r="68" ht="15">
      <c r="D68" s="281"/>
    </row>
    <row r="69" ht="15">
      <c r="D69" s="281"/>
    </row>
    <row r="70" ht="15">
      <c r="D70" s="281"/>
    </row>
    <row r="71" ht="15">
      <c r="D71" s="281"/>
    </row>
    <row r="72" ht="15">
      <c r="D72" s="281"/>
    </row>
    <row r="73" ht="15">
      <c r="D73" s="281"/>
    </row>
  </sheetData>
  <mergeCells count="9">
    <mergeCell ref="A30:C30"/>
    <mergeCell ref="A12:B12"/>
    <mergeCell ref="A13:B19"/>
    <mergeCell ref="A20:B20"/>
    <mergeCell ref="A21:B29"/>
    <mergeCell ref="A6:D6"/>
    <mergeCell ref="A8:B8"/>
    <mergeCell ref="A9:A10"/>
    <mergeCell ref="A11:B11"/>
  </mergeCells>
  <printOptions/>
  <pageMargins left="0.3" right="0.34" top="0.5" bottom="0.2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TurloSM05</cp:lastModifiedBy>
  <cp:lastPrinted>2007-09-18T11:39:30Z</cp:lastPrinted>
  <dcterms:created xsi:type="dcterms:W3CDTF">2003-12-10T21:35:36Z</dcterms:created>
  <dcterms:modified xsi:type="dcterms:W3CDTF">2007-09-19T05:53:23Z</dcterms:modified>
  <cp:category/>
  <cp:version/>
  <cp:contentType/>
  <cp:contentStatus/>
</cp:coreProperties>
</file>