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06" yWindow="95" windowWidth="11275" windowHeight="5665" activeTab="4"/>
  </bookViews>
  <sheets>
    <sheet name="№7" sheetId="1" r:id="rId1"/>
    <sheet name="№5" sheetId="2" r:id="rId2"/>
    <sheet name="№1" sheetId="3" r:id="rId3"/>
    <sheet name="№2" sheetId="4" r:id="rId4"/>
    <sheet name="№3" sheetId="5" r:id="rId5"/>
    <sheet name="№4" sheetId="6" r:id="rId6"/>
  </sheets>
  <definedNames>
    <definedName name="_xlnm.Print_Titles" localSheetId="2">'№1'!$10:$12</definedName>
    <definedName name="_xlnm.Print_Area" localSheetId="2">'№1'!$A$1:$F$65</definedName>
    <definedName name="_xlnm.Print_Area" localSheetId="3">'№2'!$A$1:$K$84</definedName>
    <definedName name="_xlnm.Print_Area" localSheetId="4">'№3'!$A$1:$K$123</definedName>
    <definedName name="_xlnm.Print_Area" localSheetId="5">'№4'!$A$1:$R$57</definedName>
    <definedName name="_xlnm.Print_Area" localSheetId="0">'№7'!$A$1:$D$56</definedName>
  </definedNames>
  <calcPr fullCalcOnLoad="1"/>
</workbook>
</file>

<file path=xl/sharedStrings.xml><?xml version="1.0" encoding="utf-8"?>
<sst xmlns="http://schemas.openxmlformats.org/spreadsheetml/2006/main" count="623" uniqueCount="346">
  <si>
    <t>Приложение 2</t>
  </si>
  <si>
    <t>к решению областного совета</t>
  </si>
  <si>
    <t>по функциональной структуре</t>
  </si>
  <si>
    <t>тыс.гривен</t>
  </si>
  <si>
    <t>КФКР</t>
  </si>
  <si>
    <t>Расходы бюджета по функциональной структуре</t>
  </si>
  <si>
    <t xml:space="preserve">                Расходы общего фонда</t>
  </si>
  <si>
    <t>Расходы специального фонда</t>
  </si>
  <si>
    <t>ИТОГО</t>
  </si>
  <si>
    <t>Всего</t>
  </si>
  <si>
    <t xml:space="preserve">в том числе </t>
  </si>
  <si>
    <t>в том числе</t>
  </si>
  <si>
    <t>из него региональные программы</t>
  </si>
  <si>
    <t>оплата труда (код 1110)</t>
  </si>
  <si>
    <t>оплата коммунальных услуг и энергонос. (код 1160)</t>
  </si>
  <si>
    <t>другие расходы</t>
  </si>
  <si>
    <t>региональные прог-раммы и централизованные мероприя-тия</t>
  </si>
  <si>
    <t>бюджет развития</t>
  </si>
  <si>
    <t>010000</t>
  </si>
  <si>
    <t>Государственное управление</t>
  </si>
  <si>
    <t>010116</t>
  </si>
  <si>
    <t>Органы местного самоуправления</t>
  </si>
  <si>
    <t>060000</t>
  </si>
  <si>
    <t>Правоохранительная деятельность и обеспечение безопасности государства</t>
  </si>
  <si>
    <t>061007</t>
  </si>
  <si>
    <t>Другие правоохранительные мероприятия и учреждения</t>
  </si>
  <si>
    <t>070000</t>
  </si>
  <si>
    <t>Образование</t>
  </si>
  <si>
    <t>080000</t>
  </si>
  <si>
    <t>Здравоохранение</t>
  </si>
  <si>
    <t>090000</t>
  </si>
  <si>
    <t>Социальная защита и социальное обеспечение</t>
  </si>
  <si>
    <t>090403</t>
  </si>
  <si>
    <t xml:space="preserve">Выплаты компенсаций реабилитированным </t>
  </si>
  <si>
    <t>090412</t>
  </si>
  <si>
    <t>Прочие расходы на социальную защиту населения</t>
  </si>
  <si>
    <t>090413</t>
  </si>
  <si>
    <t>Помощь по уходу за инвалидом I или II группы вследствие психического расстройства</t>
  </si>
  <si>
    <t>091207</t>
  </si>
  <si>
    <t>091209</t>
  </si>
  <si>
    <t>Финансовая поддержка общественных организаций инвалидов и ветеранов</t>
  </si>
  <si>
    <t>091212</t>
  </si>
  <si>
    <t>090700</t>
  </si>
  <si>
    <t>Приюты для несовершеннолетних</t>
  </si>
  <si>
    <t>Жилищно-коммунальное хозяйство</t>
  </si>
  <si>
    <t>Кинематография</t>
  </si>
  <si>
    <t>Средства массовой информации</t>
  </si>
  <si>
    <t>Периодические издания (газеты и журналы)</t>
  </si>
  <si>
    <t>Книгоиздательство</t>
  </si>
  <si>
    <t>Физкультура и спорт</t>
  </si>
  <si>
    <t>Строительство</t>
  </si>
  <si>
    <t>Капитальные вложения</t>
  </si>
  <si>
    <t>Транспорт, дорожное хозяйство, связь, телекоммуникации и информатика</t>
  </si>
  <si>
    <t xml:space="preserve">Расходы на проведение работ, связанных со строительством, реконструкцией, ремонтом и  содержанием автомобильных дорог </t>
  </si>
  <si>
    <t>Программа стабилизации и социально-экономического развития территорий</t>
  </si>
  <si>
    <t>Поддержка малого и среднего предпринимательства</t>
  </si>
  <si>
    <t>Обслуживание долга</t>
  </si>
  <si>
    <t>Целевые фонды</t>
  </si>
  <si>
    <t>Охрана и рациональное использование природных ресурсов</t>
  </si>
  <si>
    <t xml:space="preserve"> Расходы, не отнесенные к основным  группам</t>
  </si>
  <si>
    <t>Резервный фонд</t>
  </si>
  <si>
    <t xml:space="preserve">Прочие расходы  </t>
  </si>
  <si>
    <t>И Т О Г О   Р А С Х О Д О В:</t>
  </si>
  <si>
    <t>Средства, передаваемые из общего фонда бюджета в бюджет развития (специального фонда)</t>
  </si>
  <si>
    <t>В С Е Г О   Р А С Х О Д О В:</t>
  </si>
  <si>
    <t>__________________________</t>
  </si>
  <si>
    <t xml:space="preserve"> </t>
  </si>
  <si>
    <t>Приложение 3</t>
  </si>
  <si>
    <t xml:space="preserve">                               по главным распорядителям средств</t>
  </si>
  <si>
    <t xml:space="preserve">  Название главного распорядителя кредитов</t>
  </si>
  <si>
    <t>региональные программы и централизованные мероприятия</t>
  </si>
  <si>
    <t>Донецкий областной совет</t>
  </si>
  <si>
    <t>070602</t>
  </si>
  <si>
    <t>Прочие расходы</t>
  </si>
  <si>
    <t>250203</t>
  </si>
  <si>
    <t>Главное управление образования и науки</t>
  </si>
  <si>
    <t>Детско-юношеская спортивная школа главного  управления образования и науки</t>
  </si>
  <si>
    <t xml:space="preserve">Управление здравоохранения </t>
  </si>
  <si>
    <t>Библиотеки</t>
  </si>
  <si>
    <t>Главное управление по труду и социальной защите населения</t>
  </si>
  <si>
    <t>в т.ч. социальная поддержка учащихся профессионально - технических учебных заведений, студентов высших учебных заведений всех уровней аккредитации из числа детей-сирот и детей, лишённых родительской опеки</t>
  </si>
  <si>
    <t>Помощь по уходу за инвалидами I или II группы вследствие психического расстройства</t>
  </si>
  <si>
    <t xml:space="preserve">Служба по делам несовершеннолетних </t>
  </si>
  <si>
    <t xml:space="preserve">Управление жилищно-коммунального хозяйства </t>
  </si>
  <si>
    <t>110200  110500</t>
  </si>
  <si>
    <t>Донецкое областное производственное объединение "Киновидеопрокат"</t>
  </si>
  <si>
    <t>Подготовка материалов к своду "Памятники истории и культуры"</t>
  </si>
  <si>
    <t>Подготовка материалов к издательству 5,8,9 томов книги "Памяти фронтовиков"</t>
  </si>
  <si>
    <t xml:space="preserve">Управление по делам прессы и информации </t>
  </si>
  <si>
    <t xml:space="preserve">Редакционная группа "Реабилитированные историей" </t>
  </si>
  <si>
    <t xml:space="preserve">Управление по вопросам физической культуры и спорта </t>
  </si>
  <si>
    <t xml:space="preserve">Главное управление экономики </t>
  </si>
  <si>
    <t>Главное финансовое управление</t>
  </si>
  <si>
    <t>200200</t>
  </si>
  <si>
    <t>Охрана и рациональное использование земель</t>
  </si>
  <si>
    <t>Приложение № 4</t>
  </si>
  <si>
    <t xml:space="preserve">к решению областного совета </t>
  </si>
  <si>
    <t>Субвенции общего фонда:</t>
  </si>
  <si>
    <t>в т.ч.</t>
  </si>
  <si>
    <t>бесплатное обеспечение углем на бытовые нужды лицам, имеющим такое право согласно ст. 48 Горного закона Украины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</si>
  <si>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</si>
  <si>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</si>
  <si>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</si>
  <si>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</si>
  <si>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</si>
  <si>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</si>
  <si>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</si>
  <si>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</si>
  <si>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</si>
  <si>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</si>
  <si>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</si>
  <si>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</si>
  <si>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</si>
  <si>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</si>
  <si>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</si>
  <si>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</si>
  <si>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</si>
  <si>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</si>
  <si>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</si>
  <si>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</si>
  <si>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</si>
  <si>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</si>
  <si>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</si>
  <si>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</si>
  <si>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</si>
  <si>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</si>
  <si>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</si>
  <si>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</si>
  <si>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</si>
  <si>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</si>
  <si>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</si>
  <si>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</si>
  <si>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</si>
  <si>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</si>
  <si>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</si>
  <si>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</si>
  <si>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</si>
  <si>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</si>
  <si>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</si>
  <si>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</si>
  <si>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</si>
  <si>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</si>
  <si>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</si>
  <si>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</si>
  <si>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</si>
  <si>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</si>
  <si>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</si>
  <si>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</si>
  <si>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</si>
  <si>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</si>
  <si>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</si>
  <si>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</si>
  <si>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</si>
  <si>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</si>
  <si>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</si>
  <si>
    <t>240601  240602  240603  240604  240605</t>
  </si>
  <si>
    <t>Приложение 1</t>
  </si>
  <si>
    <t>Доходы областного бюджета на 2004 год</t>
  </si>
  <si>
    <t>Код</t>
  </si>
  <si>
    <t>Наименование доходов в соответствии с  бюджетной классификацией</t>
  </si>
  <si>
    <t>Общий фонд</t>
  </si>
  <si>
    <t xml:space="preserve">              Специальный фонд</t>
  </si>
  <si>
    <t>в т.ч. бюджет развития</t>
  </si>
  <si>
    <t>6=(гр.3+гр.4)</t>
  </si>
  <si>
    <t>Налоговые поступления</t>
  </si>
  <si>
    <t>Х</t>
  </si>
  <si>
    <t>Налоги на доходы, налоги на прибыль, налоги на увеличение рыночной стоимости</t>
  </si>
  <si>
    <t>Налог с доходов физических лиц</t>
  </si>
  <si>
    <t>Налог на прибыль предприятий</t>
  </si>
  <si>
    <t xml:space="preserve"> Налог на прибыль предприятий и организаций, которые относятся к коммунальной собственности</t>
  </si>
  <si>
    <t>Налоги на собственность</t>
  </si>
  <si>
    <t>Налог с владельцев транспортных средств и других самоходных машин и механизмов</t>
  </si>
  <si>
    <t xml:space="preserve">Сборы за специальное использование природных ресурсов </t>
  </si>
  <si>
    <t>Плата за землю</t>
  </si>
  <si>
    <t>Внутренние налоги на товары и услуги</t>
  </si>
  <si>
    <t xml:space="preserve">Плата за выдачу лицензий и сертификатов </t>
  </si>
  <si>
    <t>Плата за государственную регистрацию субъектов предпринимательской деятельности</t>
  </si>
  <si>
    <t>Плата за лицензии на право розничной торговли алкогольными напитками и табачными изделиями</t>
  </si>
  <si>
    <t xml:space="preserve">Плата за торговый патент на некоторые виды                                                                                                                             предпринимательской деятельности </t>
  </si>
  <si>
    <t>Плата за приобретение торговых патентов пунктами продажи нефтепродуктов (автозаправочными станциями, заправочными пунктами)</t>
  </si>
  <si>
    <t>Неналоговые поступления</t>
  </si>
  <si>
    <t>Доходы от собственности и предпринимательской деятельности</t>
  </si>
  <si>
    <t>Поступление средств от возмещения потерь сельскохозяйственного и лесохозяйственного производства</t>
  </si>
  <si>
    <t>Административные сборы и платежи, доходы от некоммерческой  и побочной продажи</t>
  </si>
  <si>
    <t>Поступления от штрафов и финансовых санкций</t>
  </si>
  <si>
    <t>Административные штрафы и другие санкции</t>
  </si>
  <si>
    <t>Другие неналоговые поступления</t>
  </si>
  <si>
    <t>Другие поступления</t>
  </si>
  <si>
    <t>Собственные поступления бюджетных учреждений</t>
  </si>
  <si>
    <t xml:space="preserve">Поступления от приватизации имущества, которое принадлежит  Автономной Республике Крым и имущества, которое находится в коммунальной собственности </t>
  </si>
  <si>
    <t>Сбор за загрязнение окружающей природной среды</t>
  </si>
  <si>
    <t>Итого доходов</t>
  </si>
  <si>
    <t>Официальные трансферты</t>
  </si>
  <si>
    <t>Субвенции</t>
  </si>
  <si>
    <t>Средства, полученные из общего  фонда бюджета   в бюджет развития (специального фонда)</t>
  </si>
  <si>
    <t>Всего доходов</t>
  </si>
  <si>
    <t>Перечисление предпринимателями части стоимости нестандартной продукции, изготовленной по разрешению на временное отклонение от требований соответствующих стандартов качества продукции, выданного Государственным комитетом Украины по стандартизации, метроло</t>
  </si>
  <si>
    <t>Поступления сумм кредиторской и депонентской задолженности  предприятий, организаций и учреждений, по которым истек срок исковой давности</t>
  </si>
  <si>
    <t xml:space="preserve">Субвенция специального фонда на погашение задолженности по льготам населению за предоставленные услуги связи  </t>
  </si>
  <si>
    <t xml:space="preserve">компенсация за льготный проезд гражданам, которые пострадали вследствие аварии на ЧАЭС </t>
  </si>
  <si>
    <t>Расходы областного бюджета на 2004 год</t>
  </si>
  <si>
    <t xml:space="preserve">              Распределение расходов областного бюджета на 2004 год</t>
  </si>
  <si>
    <t>тыс.грн.</t>
  </si>
  <si>
    <t>Управление по вопросам чрезвычайных ситуаций и по делам защиты населения от последствий Чернобыльской катастрофы</t>
  </si>
  <si>
    <t>Главное управление промышленности, транспорта и связи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</si>
  <si>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программ социальной защиты населения, предусмотренных приложением № 6 Закона Украины "О государственном бюджете на 2004 год"</t>
  </si>
  <si>
    <t>О70601</t>
  </si>
  <si>
    <t>выплату помощи семьям с детьми, малообеспе-ченным семьям, инвалидам с детства и детям-инвалидам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</si>
  <si>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 и жилищных субсидий населению на оплату электроэнергии, природного газа, услуг тепло-, водоснабжения и водоотведения, квартплаты, вывозу бытового мусора и жидких нечистот</t>
  </si>
  <si>
    <t>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гражданам, пострадавшим вследствие Чернобыльской катастрофы, и жилищных субсидий населению на приобретение твердого и жидкого печного бытового топлива и сжиженного газа</t>
  </si>
  <si>
    <t>Наименование административно-территориальных единиц</t>
  </si>
  <si>
    <t>Льготы, предоставляемые населению (кроме ветеранов войны и труда, воинской службы, органов внутренних дел и граждан, пострадавших вследствие Чернобыльской катастрофы) на оплату жилищно-коммунальных услуг и природного газа</t>
  </si>
  <si>
    <t>Предупреждение и ликвидация чрезвычайных ситуаций и последствий стихийного бедствия</t>
  </si>
  <si>
    <t>Проведение выборов народных депутатов местных советов</t>
  </si>
  <si>
    <t>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</si>
  <si>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метрополитена</t>
  </si>
  <si>
    <t>Средства, передаваемые в Государственный бюджет из бюджета Автономной Республики Крым, областных и районных бюджетов, городских бюджетов</t>
  </si>
  <si>
    <t>Высшие учреждения образования III и IV уровней аккредитации</t>
  </si>
  <si>
    <t>120201</t>
  </si>
  <si>
    <t>080400</t>
  </si>
  <si>
    <t>150101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</si>
  <si>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</si>
  <si>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строительство и приобретение жилья для инвалидов-глухих и инвалидов-слепых</t>
  </si>
  <si>
    <t xml:space="preserve">Субвенция из государственного бюджета областному бюджету Донецкой области на мероприятия, связанные с завершением реконструкции областной травматологической больницы </t>
  </si>
  <si>
    <t>Субвенция из государственного бюджета местным бюджетам  на бесплатное обеспечение углем на бытовые потребности лицам, которые имеют такое право согласно ст.48 Горного закона Украины</t>
  </si>
  <si>
    <t xml:space="preserve">Субвенция из государственного 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</si>
  <si>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Образование (учреждения образования, программы и мероприятия в сфере образования), в том числе:</t>
  </si>
  <si>
    <t>070401</t>
  </si>
  <si>
    <t>Внешкольные учреждения образования, мероприятия по  внешкольной работе с детьми (мероприятия по летнему оздоровлению детей и студентов)</t>
  </si>
  <si>
    <t>Образование (высшие учреждения образования І-ІІ уровней аккредитации; прочие учреждения, мероприятия последипломного образования), в том числе</t>
  </si>
  <si>
    <t>стипендии одаренным учащимся и студентам</t>
  </si>
  <si>
    <t>стипендии одаренным учащимся, студентам и аспирантам</t>
  </si>
  <si>
    <t>центр переподготовки и повышения квалификации работников органов государственной власти, органов  местного самоуправления, руководителей государственных предприятий, учреждений и организаций</t>
  </si>
  <si>
    <t xml:space="preserve">Образование (высшие учреждения образования І-ІІ уровней аккредитации; прочие учреждения и мероприятия последипломного образования) </t>
  </si>
  <si>
    <t>Высшие учреждения образования І-ІІ уровней аккредитации</t>
  </si>
  <si>
    <t xml:space="preserve">Культура                                                                                                                                                            Прочие мероприятия и учреждения в области исскуства и культуры  </t>
  </si>
  <si>
    <t>250329</t>
  </si>
  <si>
    <t>250309</t>
  </si>
  <si>
    <t>41030600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</si>
  <si>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</si>
  <si>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41030800</t>
  </si>
  <si>
    <t>41030900</t>
  </si>
  <si>
    <t>41031000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</si>
  <si>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 ветеранам органов внутренних дел, гражданам, пострадавшим вследствие Чернобыльской катастрофы и жилищных субсидий населению на приобретение твердого и жидкого печного бытового топлива и сжиженного газа</t>
  </si>
  <si>
    <t>41034700</t>
  </si>
  <si>
    <t>Субвенция из государственного бюджета местным бюджетам на погашение задолженности по льготам населению за предоставленные услуги связи</t>
  </si>
  <si>
    <t>250326</t>
  </si>
  <si>
    <t>250328</t>
  </si>
  <si>
    <t>250330</t>
  </si>
  <si>
    <t>110102</t>
  </si>
  <si>
    <t>110103</t>
  </si>
  <si>
    <t>Театры</t>
  </si>
  <si>
    <t>Филармонии, музыкальные коллективы и ансамбли  и прочие меприятия и учреждения по искусству</t>
  </si>
  <si>
    <t>Культура и искусство, в том числе</t>
  </si>
  <si>
    <t>110502</t>
  </si>
  <si>
    <t>Другие культурно-образовательные учреждения и мероприятия</t>
  </si>
  <si>
    <t>предоставление 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по услугам связи и прочих, предусмотренных законодательством льгот (кроме льгот на получение лекарств, зубопротезирование, оплату электроэнергии, жилищно-коммунальных услуг, твердого и жидкого печного бытового топлива) и компенсацию за льготный проезд  отдельных категорий граждан, всего</t>
  </si>
  <si>
    <t>Управление культуры облгосадминистрации, в том числе</t>
  </si>
  <si>
    <t>250367</t>
  </si>
  <si>
    <t xml:space="preserve"> Поступления от размещения  в учреждениях банков временно свободных бюджетных  средств </t>
  </si>
  <si>
    <t xml:space="preserve"> Плата за аренду целостных имущественных комплексов и другого государственного имущества </t>
  </si>
  <si>
    <t>091101</t>
  </si>
  <si>
    <t>Содержание центров социальных служб для молодежи</t>
  </si>
  <si>
    <t>091102</t>
  </si>
  <si>
    <t>091103</t>
  </si>
  <si>
    <t>091104</t>
  </si>
  <si>
    <t>Социальные программы и мероприятия государственных органов по делам молодежи</t>
  </si>
  <si>
    <t>091105</t>
  </si>
  <si>
    <t>Содержание подростковых клубов по месту проживания</t>
  </si>
  <si>
    <t>091106</t>
  </si>
  <si>
    <t xml:space="preserve">Прочие расходы </t>
  </si>
  <si>
    <t>091107</t>
  </si>
  <si>
    <t>Социальные программы и мероприятия государственных органов по делам семьи</t>
  </si>
  <si>
    <t>091211</t>
  </si>
  <si>
    <t>Централизованные бухгалтерии</t>
  </si>
  <si>
    <t>Средства, передаваемые по взаимным расчетам между местными бюджетами</t>
  </si>
  <si>
    <t xml:space="preserve">Жилищное строительство и приобретение жилья для отдельных категорий населения  </t>
  </si>
  <si>
    <t>150118</t>
  </si>
  <si>
    <t>150120</t>
  </si>
  <si>
    <t>Строительство метрополитена</t>
  </si>
  <si>
    <t>150119</t>
  </si>
  <si>
    <t>090411</t>
  </si>
  <si>
    <t>Средства на обеспечение бытовым углем отдельных категорий населения</t>
  </si>
  <si>
    <t>090601</t>
  </si>
  <si>
    <t>Дома-интернаты для малолетних инвалидов</t>
  </si>
  <si>
    <t>090901</t>
  </si>
  <si>
    <t>Дома-интернаты (пансионаты) для престарелых и инвалидов системы социальной защиты</t>
  </si>
  <si>
    <t>Программы и мероприятия центров социальных служб для молодежи</t>
  </si>
  <si>
    <t xml:space="preserve"> Социальные программы и мероприятия государственных органов по делам молодежи</t>
  </si>
  <si>
    <t>Социальные программы и мероприятия государственных органов по делам женщин</t>
  </si>
  <si>
    <t>091210</t>
  </si>
  <si>
    <t>Службы технического надзора за строительством и капитальным ремонтом</t>
  </si>
  <si>
    <t>150107</t>
  </si>
  <si>
    <t>Обработка информации по начислению и выплате пособий и компенсаций</t>
  </si>
  <si>
    <t>Здравоохранение (содержание лечебно-профилактических учреждений, проведение мероприятий и выполнение программ), в том числе</t>
  </si>
  <si>
    <t>Физическая культура и спорт (содержание учреждений физкультуры и спорта, проведение учебно-тренировочных сборов, соревнований и мероприятий)</t>
  </si>
  <si>
    <t>Субвенция из государственного 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пострадавшим вследствие Чернобыльской катастрофы и жилищных субсидий населению на оплату электроэнергии, природного     газа, услуг тепло-, водоснабжения и водоотведения, квартплаты, вывозу бытового мусора и жидких нечистот</t>
  </si>
  <si>
    <t>Субвенция из государственного бюджета местным бюджетам на предоставление льгот ветеранам войны и труда, воинской службы, органов внутренних дел, реабилитированным гражданам, которые стали инвалидами вследствие репрессий или являются пенсионерами, гражданам,  пострадавшим вследствие Чернобыльской катастрофы, по услугам связи и прочих, предусмотренных законодательством льгот (кроме льгот на  получение лекарств, зубопротезирования, оплату электроэнергии, жилищно-коммунальнных услуг, твердого и жидкого печного бытового топлива) и компенсацию за льготный проезд отдельных категорий граждан</t>
  </si>
  <si>
    <t>Проведение неотложных восстановительных работ, строительство и реконструкция в медицинских учреждениях</t>
  </si>
  <si>
    <t xml:space="preserve">Строительство и приобретение жилья военнослужащим, лицам рядового и руководящего состава криминально-исполнительной системы и органов внутренних дел, в том числе уволенным в запас или отставку по состоянию здоровья, возрасту,выслугой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в зарубежных странах </t>
  </si>
  <si>
    <t>250359</t>
  </si>
  <si>
    <t>Управление по делам семьи и молодежи</t>
  </si>
  <si>
    <t>от_______________   №_______</t>
  </si>
  <si>
    <t>от________________ № ____</t>
  </si>
  <si>
    <t>от ______________ № _______</t>
  </si>
  <si>
    <t>Приложение 5</t>
  </si>
  <si>
    <t>от _______________ № _____</t>
  </si>
  <si>
    <t>Финансирование областного бюджета на 2004 год</t>
  </si>
  <si>
    <t>Наименование</t>
  </si>
  <si>
    <t>Специальный фонд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</si>
  <si>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</si>
  <si>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</si>
  <si>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</si>
  <si>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 xml:space="preserve">Специализированные поликлиники              ( врачебно-физкультурный диспансер) </t>
  </si>
  <si>
    <t>41030500</t>
  </si>
  <si>
    <t>Субвенция на выполнение собственных полномочий территориальных громад сел, поселков, городов и их объединений</t>
  </si>
  <si>
    <t>Региональные программы и централизованные мероприятия</t>
  </si>
  <si>
    <t>Реализация государственных программ</t>
  </si>
  <si>
    <t>180409</t>
  </si>
  <si>
    <t>Взносы органов власти Автономной Республики Крым и органов местного самоуправления в уставные фонды субъектов предпринимательской деятельности</t>
  </si>
  <si>
    <t>250380</t>
  </si>
  <si>
    <t>Прочие субвенции</t>
  </si>
  <si>
    <t xml:space="preserve">Главное управление капитального строительста </t>
  </si>
  <si>
    <t>Управление градостроительства и архитектуры</t>
  </si>
  <si>
    <t>от _______________      № _______</t>
  </si>
  <si>
    <t>41030400</t>
  </si>
  <si>
    <t>Субвенция из государственного бюджета местным бюджетам на выполнение инвестиционных проектов</t>
  </si>
  <si>
    <t>41034800</t>
  </si>
  <si>
    <t>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</si>
  <si>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441035000</t>
  </si>
  <si>
    <t>250368</t>
  </si>
  <si>
    <t>250324</t>
  </si>
  <si>
    <t>150122</t>
  </si>
  <si>
    <t>Инвестиционные проекты</t>
  </si>
  <si>
    <t>Приложение № 7</t>
  </si>
  <si>
    <t xml:space="preserve">                Приложение № 7</t>
  </si>
  <si>
    <t xml:space="preserve">                                  от _____________№______</t>
  </si>
  <si>
    <t>Гостиничное хозяйство</t>
  </si>
  <si>
    <t>Распределение между бюджетами городов областного значения, районов области и областным бюджетом сумм субвенций из государственного бюджета, предусмотренных постановлениями Кабинета Министров Украины от 19.04.2004 № 509 и от 19.04.2004 № 510</t>
  </si>
  <si>
    <t xml:space="preserve"> расходы</t>
  </si>
  <si>
    <t>250404</t>
  </si>
  <si>
    <t>100206</t>
  </si>
  <si>
    <t>на выполнение инвестиционных проектов</t>
  </si>
  <si>
    <t>на выполнение мероприятий по предупреждению аварий и предотвращению техногенных катастроф в жилищно-коммунальном хозяйстве и на прочих аварийных объектах коммунальной собственности</t>
  </si>
  <si>
    <t>180109</t>
  </si>
  <si>
    <t>130112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</si>
</sst>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1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5" xfId="0" applyFont="1" applyFill="1" applyBorder="1" applyAlignment="1">
      <alignment horizontal="left" vertical="center" wrapText="1"/>
    </xf>
    <xf numFmtId="172" fontId="1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72" fontId="3" fillId="0" borderId="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1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5" xfId="0" applyFont="1" applyBorder="1" applyAlignment="1">
      <alignment horizontal="left" wrapText="1" shrinkToFit="1"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5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9" fontId="12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72" fontId="5" fillId="0" borderId="5" xfId="0" applyNumberFormat="1" applyFont="1" applyFill="1" applyBorder="1" applyAlignment="1">
      <alignment horizontal="center"/>
    </xf>
    <xf numFmtId="172" fontId="5" fillId="0" borderId="5" xfId="0" applyNumberFormat="1" applyFont="1" applyBorder="1" applyAlignment="1" applyProtection="1">
      <alignment horizontal="center"/>
      <protection/>
    </xf>
    <xf numFmtId="173" fontId="15" fillId="0" borderId="5" xfId="0" applyNumberFormat="1" applyFont="1" applyFill="1" applyBorder="1" applyAlignment="1">
      <alignment horizontal="center"/>
    </xf>
    <xf numFmtId="17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17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3" fontId="15" fillId="0" borderId="7" xfId="0" applyNumberFormat="1" applyFont="1" applyFill="1" applyBorder="1" applyAlignment="1">
      <alignment horizontal="center"/>
    </xf>
    <xf numFmtId="172" fontId="5" fillId="0" borderId="8" xfId="0" applyNumberFormat="1" applyFont="1" applyFill="1" applyBorder="1" applyAlignment="1">
      <alignment horizontal="center"/>
    </xf>
    <xf numFmtId="172" fontId="5" fillId="0" borderId="8" xfId="0" applyNumberFormat="1" applyFont="1" applyBorder="1" applyAlignment="1" applyProtection="1">
      <alignment horizontal="center"/>
      <protection/>
    </xf>
    <xf numFmtId="0" fontId="15" fillId="0" borderId="6" xfId="0" applyFont="1" applyFill="1" applyBorder="1" applyAlignment="1">
      <alignment horizontal="center"/>
    </xf>
    <xf numFmtId="172" fontId="15" fillId="0" borderId="8" xfId="0" applyNumberFormat="1" applyFont="1" applyBorder="1" applyAlignment="1">
      <alignment horizontal="center"/>
    </xf>
    <xf numFmtId="172" fontId="16" fillId="0" borderId="8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172" fontId="13" fillId="0" borderId="9" xfId="0" applyNumberFormat="1" applyFont="1" applyBorder="1" applyAlignment="1">
      <alignment horizontal="center"/>
    </xf>
    <xf numFmtId="172" fontId="16" fillId="0" borderId="4" xfId="0" applyNumberFormat="1" applyFont="1" applyBorder="1" applyAlignment="1" applyProtection="1">
      <alignment horizontal="center"/>
      <protection/>
    </xf>
    <xf numFmtId="173" fontId="13" fillId="0" borderId="4" xfId="0" applyNumberFormat="1" applyFont="1" applyFill="1" applyBorder="1" applyAlignment="1">
      <alignment horizontal="center"/>
    </xf>
    <xf numFmtId="172" fontId="13" fillId="0" borderId="4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172" fontId="16" fillId="0" borderId="4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172" fontId="9" fillId="0" borderId="0" xfId="0" applyNumberFormat="1" applyFont="1" applyAlignment="1">
      <alignment/>
    </xf>
    <xf numFmtId="172" fontId="1" fillId="0" borderId="7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left" wrapText="1" shrinkToFit="1"/>
    </xf>
    <xf numFmtId="172" fontId="1" fillId="0" borderId="5" xfId="0" applyNumberFormat="1" applyFont="1" applyBorder="1" applyAlignment="1">
      <alignment horizontal="center"/>
    </xf>
    <xf numFmtId="172" fontId="1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 shrinkToFit="1"/>
    </xf>
    <xf numFmtId="172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 shrinkToFit="1"/>
    </xf>
    <xf numFmtId="172" fontId="18" fillId="0" borderId="5" xfId="0" applyNumberFormat="1" applyFont="1" applyBorder="1" applyAlignment="1">
      <alignment horizontal="center"/>
    </xf>
    <xf numFmtId="172" fontId="3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 vertical="center" wrapText="1" shrinkToFit="1"/>
    </xf>
    <xf numFmtId="49" fontId="1" fillId="0" borderId="5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3" fillId="0" borderId="7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72" fontId="19" fillId="0" borderId="0" xfId="0" applyNumberFormat="1" applyFont="1" applyAlignment="1">
      <alignment/>
    </xf>
    <xf numFmtId="0" fontId="3" fillId="0" borderId="5" xfId="0" applyFont="1" applyFill="1" applyBorder="1" applyAlignment="1">
      <alignment horizontal="left"/>
    </xf>
    <xf numFmtId="17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6" fillId="0" borderId="8" xfId="0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1" fillId="0" borderId="8" xfId="0" applyNumberFormat="1" applyFont="1" applyFill="1" applyBorder="1" applyAlignment="1">
      <alignment horizontal="right"/>
    </xf>
    <xf numFmtId="0" fontId="1" fillId="0" borderId="5" xfId="0" applyFont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172" fontId="1" fillId="0" borderId="12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left" wrapText="1" shrinkToFit="1"/>
    </xf>
    <xf numFmtId="172" fontId="3" fillId="0" borderId="5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8" xfId="0" applyNumberFormat="1" applyFont="1" applyBorder="1" applyAlignment="1">
      <alignment horizontal="center"/>
    </xf>
    <xf numFmtId="172" fontId="3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72" fontId="1" fillId="0" borderId="1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 shrinkToFit="1"/>
    </xf>
    <xf numFmtId="49" fontId="1" fillId="0" borderId="17" xfId="0" applyNumberFormat="1" applyFont="1" applyBorder="1" applyAlignment="1">
      <alignment horizontal="center" vertical="top"/>
    </xf>
    <xf numFmtId="172" fontId="1" fillId="0" borderId="7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1" fillId="0" borderId="0" xfId="0" applyFont="1" applyBorder="1" applyAlignment="1">
      <alignment vertical="top" wrapText="1"/>
    </xf>
    <xf numFmtId="49" fontId="3" fillId="0" borderId="18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 wrapText="1" shrinkToFit="1"/>
    </xf>
    <xf numFmtId="172" fontId="3" fillId="0" borderId="19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wrapText="1" shrinkToFit="1"/>
    </xf>
    <xf numFmtId="172" fontId="1" fillId="0" borderId="8" xfId="0" applyNumberFormat="1" applyFont="1" applyBorder="1" applyAlignment="1">
      <alignment horizontal="center"/>
    </xf>
    <xf numFmtId="172" fontId="17" fillId="0" borderId="8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172" fontId="18" fillId="0" borderId="19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 shrinkToFit="1"/>
    </xf>
    <xf numFmtId="172" fontId="18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172" fontId="3" fillId="2" borderId="7" xfId="0" applyNumberFormat="1" applyFont="1" applyFill="1" applyBorder="1" applyAlignment="1">
      <alignment horizontal="right"/>
    </xf>
    <xf numFmtId="172" fontId="1" fillId="2" borderId="7" xfId="0" applyNumberFormat="1" applyFont="1" applyFill="1" applyBorder="1" applyAlignment="1">
      <alignment horizontal="right"/>
    </xf>
    <xf numFmtId="172" fontId="3" fillId="2" borderId="5" xfId="0" applyNumberFormat="1" applyFont="1" applyFill="1" applyBorder="1" applyAlignment="1">
      <alignment horizontal="right"/>
    </xf>
    <xf numFmtId="172" fontId="1" fillId="2" borderId="5" xfId="0" applyNumberFormat="1" applyFont="1" applyFill="1" applyBorder="1" applyAlignment="1">
      <alignment horizontal="right"/>
    </xf>
    <xf numFmtId="172" fontId="1" fillId="2" borderId="0" xfId="0" applyNumberFormat="1" applyFont="1" applyFill="1" applyAlignment="1">
      <alignment/>
    </xf>
    <xf numFmtId="172" fontId="1" fillId="2" borderId="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2" borderId="19" xfId="0" applyNumberFormat="1" applyFont="1" applyFill="1" applyBorder="1" applyAlignment="1">
      <alignment horizontal="right"/>
    </xf>
    <xf numFmtId="172" fontId="3" fillId="0" borderId="20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top"/>
    </xf>
    <xf numFmtId="172" fontId="1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172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left" vertical="center" wrapText="1"/>
    </xf>
    <xf numFmtId="172" fontId="3" fillId="0" borderId="25" xfId="0" applyNumberFormat="1" applyFont="1" applyFill="1" applyBorder="1" applyAlignment="1">
      <alignment horizontal="right"/>
    </xf>
    <xf numFmtId="172" fontId="3" fillId="0" borderId="26" xfId="0" applyNumberFormat="1" applyFont="1" applyFill="1" applyBorder="1" applyAlignment="1">
      <alignment horizontal="right"/>
    </xf>
    <xf numFmtId="172" fontId="1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20" xfId="0" applyNumberFormat="1" applyFont="1" applyFill="1" applyBorder="1" applyAlignment="1">
      <alignment/>
    </xf>
    <xf numFmtId="172" fontId="16" fillId="0" borderId="2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left" vertical="center" wrapText="1"/>
    </xf>
    <xf numFmtId="172" fontId="13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28" xfId="0" applyFont="1" applyBorder="1" applyAlignment="1">
      <alignment/>
    </xf>
    <xf numFmtId="49" fontId="1" fillId="0" borderId="29" xfId="0" applyNumberFormat="1" applyFont="1" applyFill="1" applyBorder="1" applyAlignment="1">
      <alignment horizontal="center" vertical="top"/>
    </xf>
    <xf numFmtId="172" fontId="1" fillId="0" borderId="6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1" fillId="2" borderId="6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73" fontId="0" fillId="0" borderId="4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3" fillId="0" borderId="5" xfId="0" applyFont="1" applyBorder="1" applyAlignment="1">
      <alignment vertical="top" wrapText="1"/>
    </xf>
    <xf numFmtId="173" fontId="0" fillId="0" borderId="4" xfId="0" applyNumberFormat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172" fontId="3" fillId="0" borderId="31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 shrinkToFit="1"/>
    </xf>
    <xf numFmtId="0" fontId="10" fillId="0" borderId="0" xfId="0" applyFont="1" applyAlignment="1">
      <alignment horizontal="center" wrapText="1"/>
    </xf>
    <xf numFmtId="0" fontId="12" fillId="0" borderId="34" xfId="0" applyFont="1" applyBorder="1" applyAlignment="1">
      <alignment horizontal="center"/>
    </xf>
    <xf numFmtId="9" fontId="12" fillId="0" borderId="8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172" fontId="1" fillId="3" borderId="5" xfId="0" applyNumberFormat="1" applyFont="1" applyFill="1" applyBorder="1" applyAlignment="1">
      <alignment horizontal="right"/>
    </xf>
    <xf numFmtId="172" fontId="1" fillId="3" borderId="12" xfId="0" applyNumberFormat="1" applyFont="1" applyFill="1" applyBorder="1" applyAlignment="1">
      <alignment horizontal="right"/>
    </xf>
    <xf numFmtId="172" fontId="1" fillId="0" borderId="7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 applyProtection="1">
      <alignment horizontal="center"/>
      <protection/>
    </xf>
    <xf numFmtId="172" fontId="1" fillId="0" borderId="5" xfId="0" applyNumberFormat="1" applyFont="1" applyFill="1" applyBorder="1" applyAlignment="1">
      <alignment horizontal="center"/>
    </xf>
    <xf numFmtId="172" fontId="1" fillId="0" borderId="5" xfId="0" applyNumberFormat="1" applyFont="1" applyBorder="1" applyAlignment="1" applyProtection="1">
      <alignment horizontal="center"/>
      <protection/>
    </xf>
    <xf numFmtId="172" fontId="1" fillId="0" borderId="8" xfId="0" applyNumberFormat="1" applyFont="1" applyFill="1" applyBorder="1" applyAlignment="1">
      <alignment horizontal="center"/>
    </xf>
    <xf numFmtId="172" fontId="1" fillId="0" borderId="8" xfId="0" applyNumberFormat="1" applyFont="1" applyBorder="1" applyAlignment="1" applyProtection="1">
      <alignment horizontal="center"/>
      <protection/>
    </xf>
    <xf numFmtId="172" fontId="4" fillId="0" borderId="7" xfId="0" applyNumberFormat="1" applyFont="1" applyFill="1" applyBorder="1" applyAlignment="1">
      <alignment horizontal="center"/>
    </xf>
    <xf numFmtId="172" fontId="4" fillId="0" borderId="7" xfId="0" applyNumberFormat="1" applyFont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>
      <alignment horizontal="center"/>
    </xf>
    <xf numFmtId="172" fontId="4" fillId="0" borderId="5" xfId="0" applyNumberFormat="1" applyFont="1" applyBorder="1" applyAlignment="1" applyProtection="1">
      <alignment horizontal="center"/>
      <protection/>
    </xf>
    <xf numFmtId="172" fontId="4" fillId="0" borderId="8" xfId="0" applyNumberFormat="1" applyFont="1" applyFill="1" applyBorder="1" applyAlignment="1">
      <alignment horizontal="center"/>
    </xf>
    <xf numFmtId="172" fontId="4" fillId="0" borderId="8" xfId="0" applyNumberFormat="1" applyFont="1" applyBorder="1" applyAlignment="1" applyProtection="1">
      <alignment horizontal="center"/>
      <protection/>
    </xf>
    <xf numFmtId="0" fontId="22" fillId="0" borderId="4" xfId="0" applyFont="1" applyBorder="1" applyAlignment="1">
      <alignment/>
    </xf>
    <xf numFmtId="172" fontId="22" fillId="0" borderId="9" xfId="0" applyNumberFormat="1" applyFont="1" applyBorder="1" applyAlignment="1">
      <alignment horizontal="center"/>
    </xf>
    <xf numFmtId="172" fontId="7" fillId="0" borderId="4" xfId="0" applyNumberFormat="1" applyFont="1" applyBorder="1" applyAlignment="1" applyProtection="1">
      <alignment horizontal="center"/>
      <protection/>
    </xf>
    <xf numFmtId="173" fontId="22" fillId="0" borderId="4" xfId="0" applyNumberFormat="1" applyFont="1" applyFill="1" applyBorder="1" applyAlignment="1">
      <alignment horizontal="center"/>
    </xf>
    <xf numFmtId="173" fontId="5" fillId="0" borderId="16" xfId="0" applyNumberFormat="1" applyFont="1" applyBorder="1" applyAlignment="1">
      <alignment horizontal="center"/>
    </xf>
    <xf numFmtId="172" fontId="15" fillId="0" borderId="35" xfId="0" applyNumberFormat="1" applyFont="1" applyBorder="1" applyAlignment="1">
      <alignment horizontal="center"/>
    </xf>
    <xf numFmtId="172" fontId="13" fillId="0" borderId="27" xfId="0" applyNumberFormat="1" applyFont="1" applyBorder="1" applyAlignment="1">
      <alignment horizontal="center"/>
    </xf>
    <xf numFmtId="173" fontId="14" fillId="0" borderId="13" xfId="0" applyNumberFormat="1" applyFont="1" applyFill="1" applyBorder="1" applyAlignment="1">
      <alignment horizontal="center"/>
    </xf>
    <xf numFmtId="173" fontId="14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vertical="top" wrapText="1"/>
    </xf>
    <xf numFmtId="172" fontId="1" fillId="0" borderId="38" xfId="0" applyNumberFormat="1" applyFont="1" applyFill="1" applyBorder="1" applyAlignment="1">
      <alignment horizontal="right"/>
    </xf>
    <xf numFmtId="172" fontId="1" fillId="0" borderId="39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 horizontal="center" vertical="top"/>
    </xf>
    <xf numFmtId="0" fontId="1" fillId="0" borderId="7" xfId="0" applyFont="1" applyBorder="1" applyAlignment="1">
      <alignment vertical="top" wrapText="1"/>
    </xf>
    <xf numFmtId="49" fontId="1" fillId="3" borderId="15" xfId="0" applyNumberFormat="1" applyFont="1" applyFill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center" wrapText="1" shrinkToFit="1"/>
    </xf>
    <xf numFmtId="0" fontId="3" fillId="0" borderId="40" xfId="0" applyFont="1" applyBorder="1" applyAlignment="1">
      <alignment horizontal="center" wrapText="1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9" fontId="12" fillId="0" borderId="41" xfId="0" applyNumberFormat="1" applyFont="1" applyFill="1" applyBorder="1" applyAlignment="1">
      <alignment horizontal="center" vertical="center" wrapText="1"/>
    </xf>
    <xf numFmtId="9" fontId="12" fillId="0" borderId="6" xfId="0" applyNumberFormat="1" applyFont="1" applyFill="1" applyBorder="1" applyAlignment="1">
      <alignment horizontal="center" vertical="center" wrapText="1"/>
    </xf>
    <xf numFmtId="9" fontId="13" fillId="0" borderId="42" xfId="0" applyNumberFormat="1" applyFont="1" applyFill="1" applyBorder="1" applyAlignment="1">
      <alignment horizontal="center" vertical="center" wrapText="1"/>
    </xf>
    <xf numFmtId="9" fontId="13" fillId="0" borderId="36" xfId="0" applyNumberFormat="1" applyFont="1" applyFill="1" applyBorder="1" applyAlignment="1">
      <alignment horizontal="center" vertical="center" wrapText="1"/>
    </xf>
    <xf numFmtId="9" fontId="12" fillId="0" borderId="35" xfId="0" applyNumberFormat="1" applyFont="1" applyFill="1" applyBorder="1" applyAlignment="1">
      <alignment horizontal="center" vertical="center" wrapText="1"/>
    </xf>
    <xf numFmtId="9" fontId="12" fillId="0" borderId="43" xfId="0" applyNumberFormat="1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9" fontId="12" fillId="0" borderId="44" xfId="0" applyNumberFormat="1" applyFont="1" applyFill="1" applyBorder="1" applyAlignment="1">
      <alignment horizontal="center" vertical="center" wrapText="1"/>
    </xf>
    <xf numFmtId="9" fontId="12" fillId="0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 shrinkToFit="1"/>
    </xf>
    <xf numFmtId="0" fontId="1" fillId="0" borderId="46" xfId="0" applyFont="1" applyBorder="1" applyAlignment="1">
      <alignment horizontal="center" wrapText="1" shrinkToFi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6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2" fillId="0" borderId="8" xfId="0" applyNumberFormat="1" applyFont="1" applyFill="1" applyBorder="1" applyAlignment="1">
      <alignment horizontal="center" vertical="center" wrapText="1"/>
    </xf>
    <xf numFmtId="9" fontId="12" fillId="0" borderId="7" xfId="0" applyNumberFormat="1" applyFont="1" applyFill="1" applyBorder="1" applyAlignment="1">
      <alignment horizontal="center" vertical="center" wrapText="1"/>
    </xf>
    <xf numFmtId="9" fontId="12" fillId="0" borderId="52" xfId="0" applyNumberFormat="1" applyFont="1" applyFill="1" applyBorder="1" applyAlignment="1">
      <alignment horizontal="center" vertical="center" wrapText="1"/>
    </xf>
    <xf numFmtId="9" fontId="12" fillId="0" borderId="53" xfId="0" applyNumberFormat="1" applyFont="1" applyFill="1" applyBorder="1" applyAlignment="1">
      <alignment horizontal="center" vertical="center" wrapText="1"/>
    </xf>
    <xf numFmtId="9" fontId="12" fillId="0" borderId="54" xfId="0" applyNumberFormat="1" applyFont="1" applyFill="1" applyBorder="1" applyAlignment="1">
      <alignment horizontal="center" vertical="center" wrapText="1"/>
    </xf>
    <xf numFmtId="9" fontId="12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9" fontId="13" fillId="0" borderId="1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="75" zoomScaleSheetLayoutView="75" workbookViewId="0" topLeftCell="A28">
      <selection activeCell="B10" sqref="B10:C55"/>
    </sheetView>
  </sheetViews>
  <sheetFormatPr defaultColWidth="9.00390625" defaultRowHeight="12.75"/>
  <cols>
    <col min="1" max="1" width="21.25390625" style="46" customWidth="1"/>
    <col min="2" max="2" width="17.75390625" style="46" customWidth="1"/>
    <col min="3" max="3" width="22.00390625" style="46" customWidth="1"/>
    <col min="4" max="4" width="19.875" style="46" customWidth="1"/>
    <col min="5" max="5" width="40.375" style="46" customWidth="1"/>
    <col min="6" max="6" width="12.625" style="46" customWidth="1"/>
    <col min="7" max="7" width="9.25390625" style="46" customWidth="1"/>
    <col min="8" max="8" width="12.125" style="46" customWidth="1"/>
    <col min="9" max="9" width="8.25390625" style="46" customWidth="1"/>
    <col min="10" max="10" width="9.875" style="46" customWidth="1"/>
    <col min="11" max="11" width="20.625" style="46" customWidth="1"/>
    <col min="12" max="12" width="11.375" style="46" hidden="1" customWidth="1"/>
    <col min="13" max="13" width="18.125" style="46" hidden="1" customWidth="1"/>
    <col min="14" max="14" width="12.25390625" style="46" customWidth="1"/>
    <col min="15" max="15" width="13.875" style="46" customWidth="1"/>
    <col min="16" max="16" width="12.00390625" style="46" customWidth="1"/>
    <col min="17" max="17" width="0" style="46" hidden="1" customWidth="1"/>
    <col min="18" max="16384" width="9.125" style="46" customWidth="1"/>
  </cols>
  <sheetData>
    <row r="1" spans="3:15" ht="13.5">
      <c r="C1" s="283" t="s">
        <v>335</v>
      </c>
      <c r="D1" s="283"/>
      <c r="N1" s="285" t="s">
        <v>334</v>
      </c>
      <c r="O1" s="285"/>
    </row>
    <row r="2" spans="3:14" ht="13.5">
      <c r="C2" s="284" t="s">
        <v>96</v>
      </c>
      <c r="D2" s="284"/>
      <c r="N2" s="46" t="s">
        <v>96</v>
      </c>
    </row>
    <row r="3" spans="3:16" ht="13.5">
      <c r="C3" s="283" t="s">
        <v>336</v>
      </c>
      <c r="D3" s="283"/>
      <c r="N3" s="285" t="s">
        <v>302</v>
      </c>
      <c r="O3" s="285"/>
      <c r="P3" s="285"/>
    </row>
    <row r="5" spans="1:16" ht="39.75" customHeight="1">
      <c r="A5" s="295" t="s">
        <v>338</v>
      </c>
      <c r="B5" s="295"/>
      <c r="C5" s="295"/>
      <c r="D5" s="295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6" ht="12.7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 t="s">
        <v>202</v>
      </c>
    </row>
    <row r="7" spans="1:18" ht="12.75" customHeight="1">
      <c r="A7" s="277" t="s">
        <v>210</v>
      </c>
      <c r="B7" s="292" t="s">
        <v>326</v>
      </c>
      <c r="C7" s="292" t="s">
        <v>328</v>
      </c>
      <c r="D7" s="292" t="s">
        <v>9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86"/>
      <c r="P7" s="288" t="s">
        <v>9</v>
      </c>
      <c r="R7" s="283"/>
    </row>
    <row r="8" spans="1:18" s="50" customFormat="1" ht="16.5" customHeight="1">
      <c r="A8" s="277"/>
      <c r="B8" s="292"/>
      <c r="C8" s="292"/>
      <c r="D8" s="292"/>
      <c r="E8" s="290"/>
      <c r="F8" s="292"/>
      <c r="G8" s="292"/>
      <c r="H8" s="292"/>
      <c r="I8" s="292"/>
      <c r="J8" s="292"/>
      <c r="K8" s="292"/>
      <c r="L8" s="292"/>
      <c r="M8" s="292"/>
      <c r="N8" s="293"/>
      <c r="O8" s="287"/>
      <c r="P8" s="289"/>
      <c r="R8" s="283"/>
    </row>
    <row r="9" spans="1:18" s="50" customFormat="1" ht="64.5" customHeight="1">
      <c r="A9" s="277"/>
      <c r="B9" s="292"/>
      <c r="C9" s="292"/>
      <c r="D9" s="292"/>
      <c r="E9" s="291"/>
      <c r="F9" s="242"/>
      <c r="G9" s="242"/>
      <c r="H9" s="242"/>
      <c r="I9" s="292"/>
      <c r="J9" s="292"/>
      <c r="K9" s="242"/>
      <c r="L9" s="242"/>
      <c r="M9" s="242"/>
      <c r="N9" s="294"/>
      <c r="O9" s="287"/>
      <c r="P9" s="289"/>
      <c r="R9" s="283"/>
    </row>
    <row r="10" spans="1:17" s="58" customFormat="1" ht="14.25">
      <c r="A10" s="207" t="s">
        <v>108</v>
      </c>
      <c r="B10" s="253">
        <v>375</v>
      </c>
      <c r="C10" s="254">
        <v>800</v>
      </c>
      <c r="D10" s="266">
        <f>C10+B10</f>
        <v>1175</v>
      </c>
      <c r="E10" s="263"/>
      <c r="F10" s="55"/>
      <c r="G10" s="54"/>
      <c r="H10" s="54"/>
      <c r="I10" s="55"/>
      <c r="J10" s="55"/>
      <c r="K10" s="54"/>
      <c r="L10" s="55"/>
      <c r="M10" s="54"/>
      <c r="N10" s="54"/>
      <c r="O10" s="56"/>
      <c r="P10" s="208">
        <f>E10+D10+C10+B10+O10+N10</f>
        <v>2350</v>
      </c>
      <c r="Q10" s="57">
        <f>E10-F10</f>
        <v>0</v>
      </c>
    </row>
    <row r="11" spans="1:17" s="58" customFormat="1" ht="14.25">
      <c r="A11" s="209" t="s">
        <v>109</v>
      </c>
      <c r="B11" s="255">
        <v>750</v>
      </c>
      <c r="C11" s="256">
        <v>320</v>
      </c>
      <c r="D11" s="266">
        <f aca="true" t="shared" si="0" ref="D11:D56">C11+B11</f>
        <v>1070</v>
      </c>
      <c r="E11" s="263"/>
      <c r="F11" s="55"/>
      <c r="G11" s="54"/>
      <c r="H11" s="54"/>
      <c r="I11" s="55"/>
      <c r="J11" s="55"/>
      <c r="K11" s="54"/>
      <c r="L11" s="55"/>
      <c r="M11" s="54"/>
      <c r="N11" s="54"/>
      <c r="O11" s="56"/>
      <c r="P11" s="208">
        <f aca="true" t="shared" si="1" ref="P11:P55">E11+D11+C11+B11+O11+N11</f>
        <v>2140</v>
      </c>
      <c r="Q11" s="57">
        <f aca="true" t="shared" si="2" ref="Q11:Q54">E11-F11</f>
        <v>0</v>
      </c>
    </row>
    <row r="12" spans="1:17" s="58" customFormat="1" ht="14.25">
      <c r="A12" s="209" t="s">
        <v>110</v>
      </c>
      <c r="B12" s="255">
        <v>2630</v>
      </c>
      <c r="C12" s="256">
        <v>4450</v>
      </c>
      <c r="D12" s="266">
        <f t="shared" si="0"/>
        <v>7080</v>
      </c>
      <c r="E12" s="263"/>
      <c r="F12" s="55"/>
      <c r="G12" s="54"/>
      <c r="H12" s="54"/>
      <c r="I12" s="55"/>
      <c r="J12" s="55"/>
      <c r="K12" s="54"/>
      <c r="L12" s="55"/>
      <c r="M12" s="54"/>
      <c r="N12" s="54"/>
      <c r="O12" s="56"/>
      <c r="P12" s="208">
        <f t="shared" si="1"/>
        <v>14160</v>
      </c>
      <c r="Q12" s="57">
        <f t="shared" si="2"/>
        <v>0</v>
      </c>
    </row>
    <row r="13" spans="1:17" s="58" customFormat="1" ht="14.25">
      <c r="A13" s="209" t="s">
        <v>111</v>
      </c>
      <c r="B13" s="255"/>
      <c r="C13" s="256"/>
      <c r="D13" s="266">
        <f t="shared" si="0"/>
        <v>0</v>
      </c>
      <c r="E13" s="263"/>
      <c r="F13" s="55"/>
      <c r="G13" s="54"/>
      <c r="H13" s="54"/>
      <c r="I13" s="55"/>
      <c r="J13" s="55"/>
      <c r="K13" s="54"/>
      <c r="L13" s="55"/>
      <c r="M13" s="54"/>
      <c r="N13" s="54"/>
      <c r="O13" s="56"/>
      <c r="P13" s="208">
        <f t="shared" si="1"/>
        <v>0</v>
      </c>
      <c r="Q13" s="57">
        <f t="shared" si="2"/>
        <v>0</v>
      </c>
    </row>
    <row r="14" spans="1:17" s="58" customFormat="1" ht="14.25">
      <c r="A14" s="209" t="s">
        <v>112</v>
      </c>
      <c r="B14" s="255"/>
      <c r="C14" s="256">
        <v>1200</v>
      </c>
      <c r="D14" s="266">
        <f t="shared" si="0"/>
        <v>1200</v>
      </c>
      <c r="E14" s="263"/>
      <c r="F14" s="55"/>
      <c r="G14" s="54"/>
      <c r="H14" s="54"/>
      <c r="I14" s="55"/>
      <c r="J14" s="55"/>
      <c r="K14" s="54"/>
      <c r="L14" s="55"/>
      <c r="M14" s="54"/>
      <c r="N14" s="54"/>
      <c r="O14" s="56"/>
      <c r="P14" s="208">
        <f t="shared" si="1"/>
        <v>2400</v>
      </c>
      <c r="Q14" s="57">
        <f t="shared" si="2"/>
        <v>0</v>
      </c>
    </row>
    <row r="15" spans="1:17" s="58" customFormat="1" ht="14.25">
      <c r="A15" s="209" t="s">
        <v>113</v>
      </c>
      <c r="B15" s="255"/>
      <c r="C15" s="256">
        <v>2600</v>
      </c>
      <c r="D15" s="266">
        <f t="shared" si="0"/>
        <v>2600</v>
      </c>
      <c r="E15" s="263"/>
      <c r="F15" s="55"/>
      <c r="G15" s="54"/>
      <c r="H15" s="54"/>
      <c r="I15" s="55"/>
      <c r="J15" s="55"/>
      <c r="K15" s="54"/>
      <c r="L15" s="55"/>
      <c r="M15" s="54"/>
      <c r="N15" s="54"/>
      <c r="O15" s="56"/>
      <c r="P15" s="208">
        <f t="shared" si="1"/>
        <v>5200</v>
      </c>
      <c r="Q15" s="57">
        <f t="shared" si="2"/>
        <v>0</v>
      </c>
    </row>
    <row r="16" spans="1:17" s="58" customFormat="1" ht="14.25">
      <c r="A16" s="209" t="s">
        <v>114</v>
      </c>
      <c r="B16" s="255"/>
      <c r="C16" s="256"/>
      <c r="D16" s="266">
        <f t="shared" si="0"/>
        <v>0</v>
      </c>
      <c r="E16" s="263"/>
      <c r="F16" s="55"/>
      <c r="G16" s="54"/>
      <c r="H16" s="54"/>
      <c r="I16" s="55"/>
      <c r="J16" s="55"/>
      <c r="K16" s="54"/>
      <c r="L16" s="55"/>
      <c r="M16" s="54"/>
      <c r="N16" s="54"/>
      <c r="O16" s="56"/>
      <c r="P16" s="208">
        <f t="shared" si="1"/>
        <v>0</v>
      </c>
      <c r="Q16" s="57">
        <f t="shared" si="2"/>
        <v>0</v>
      </c>
    </row>
    <row r="17" spans="1:17" s="58" customFormat="1" ht="14.25">
      <c r="A17" s="209" t="s">
        <v>115</v>
      </c>
      <c r="B17" s="255"/>
      <c r="C17" s="256"/>
      <c r="D17" s="266">
        <f t="shared" si="0"/>
        <v>0</v>
      </c>
      <c r="E17" s="263"/>
      <c r="F17" s="55"/>
      <c r="G17" s="54"/>
      <c r="H17" s="54"/>
      <c r="I17" s="55"/>
      <c r="J17" s="55"/>
      <c r="K17" s="54"/>
      <c r="L17" s="55"/>
      <c r="M17" s="54"/>
      <c r="N17" s="54"/>
      <c r="O17" s="56"/>
      <c r="P17" s="208">
        <f t="shared" si="1"/>
        <v>0</v>
      </c>
      <c r="Q17" s="57">
        <f t="shared" si="2"/>
        <v>0</v>
      </c>
    </row>
    <row r="18" spans="1:17" s="58" customFormat="1" ht="14.25">
      <c r="A18" s="209" t="s">
        <v>116</v>
      </c>
      <c r="B18" s="255">
        <v>8350</v>
      </c>
      <c r="C18" s="256">
        <v>6945</v>
      </c>
      <c r="D18" s="266">
        <f t="shared" si="0"/>
        <v>15295</v>
      </c>
      <c r="E18" s="263"/>
      <c r="F18" s="55"/>
      <c r="G18" s="54"/>
      <c r="H18" s="54"/>
      <c r="I18" s="55"/>
      <c r="J18" s="55"/>
      <c r="K18" s="54"/>
      <c r="L18" s="55"/>
      <c r="M18" s="54"/>
      <c r="N18" s="54"/>
      <c r="O18" s="56"/>
      <c r="P18" s="208">
        <f t="shared" si="1"/>
        <v>30590</v>
      </c>
      <c r="Q18" s="57">
        <f t="shared" si="2"/>
        <v>0</v>
      </c>
    </row>
    <row r="19" spans="1:17" s="58" customFormat="1" ht="14.25">
      <c r="A19" s="209" t="s">
        <v>117</v>
      </c>
      <c r="B19" s="255">
        <v>725</v>
      </c>
      <c r="C19" s="256">
        <v>765</v>
      </c>
      <c r="D19" s="266">
        <f t="shared" si="0"/>
        <v>1490</v>
      </c>
      <c r="E19" s="263"/>
      <c r="F19" s="55"/>
      <c r="G19" s="54"/>
      <c r="H19" s="54"/>
      <c r="I19" s="55"/>
      <c r="J19" s="55"/>
      <c r="K19" s="54"/>
      <c r="L19" s="55"/>
      <c r="M19" s="54"/>
      <c r="N19" s="54"/>
      <c r="O19" s="56"/>
      <c r="P19" s="208">
        <f t="shared" si="1"/>
        <v>2980</v>
      </c>
      <c r="Q19" s="57">
        <f t="shared" si="2"/>
        <v>0</v>
      </c>
    </row>
    <row r="20" spans="1:17" s="58" customFormat="1" ht="14.25">
      <c r="A20" s="209" t="s">
        <v>118</v>
      </c>
      <c r="B20" s="255">
        <v>400</v>
      </c>
      <c r="C20" s="256">
        <v>1050</v>
      </c>
      <c r="D20" s="266">
        <f t="shared" si="0"/>
        <v>1450</v>
      </c>
      <c r="E20" s="263"/>
      <c r="F20" s="55"/>
      <c r="G20" s="54"/>
      <c r="H20" s="54"/>
      <c r="I20" s="55"/>
      <c r="J20" s="55"/>
      <c r="K20" s="54"/>
      <c r="L20" s="55"/>
      <c r="M20" s="54"/>
      <c r="N20" s="54"/>
      <c r="O20" s="56"/>
      <c r="P20" s="208">
        <f t="shared" si="1"/>
        <v>2900</v>
      </c>
      <c r="Q20" s="57">
        <f t="shared" si="2"/>
        <v>0</v>
      </c>
    </row>
    <row r="21" spans="1:17" s="58" customFormat="1" ht="14.25">
      <c r="A21" s="209" t="s">
        <v>119</v>
      </c>
      <c r="B21" s="255">
        <v>200</v>
      </c>
      <c r="C21" s="256">
        <v>400</v>
      </c>
      <c r="D21" s="266">
        <f t="shared" si="0"/>
        <v>600</v>
      </c>
      <c r="E21" s="263"/>
      <c r="F21" s="55"/>
      <c r="G21" s="54"/>
      <c r="H21" s="54"/>
      <c r="I21" s="55"/>
      <c r="J21" s="55"/>
      <c r="K21" s="54"/>
      <c r="L21" s="55"/>
      <c r="M21" s="54"/>
      <c r="N21" s="54"/>
      <c r="O21" s="56"/>
      <c r="P21" s="208">
        <f t="shared" si="1"/>
        <v>1200</v>
      </c>
      <c r="Q21" s="57">
        <f t="shared" si="2"/>
        <v>0</v>
      </c>
    </row>
    <row r="22" spans="1:17" s="58" customFormat="1" ht="14.25">
      <c r="A22" s="209" t="s">
        <v>120</v>
      </c>
      <c r="B22" s="255">
        <v>50</v>
      </c>
      <c r="C22" s="256"/>
      <c r="D22" s="266">
        <f t="shared" si="0"/>
        <v>50</v>
      </c>
      <c r="E22" s="263"/>
      <c r="F22" s="55"/>
      <c r="G22" s="54"/>
      <c r="H22" s="54"/>
      <c r="I22" s="55"/>
      <c r="J22" s="55"/>
      <c r="K22" s="54"/>
      <c r="L22" s="55"/>
      <c r="M22" s="54"/>
      <c r="N22" s="54"/>
      <c r="O22" s="56"/>
      <c r="P22" s="208">
        <f t="shared" si="1"/>
        <v>100</v>
      </c>
      <c r="Q22" s="57">
        <f t="shared" si="2"/>
        <v>0</v>
      </c>
    </row>
    <row r="23" spans="1:17" s="58" customFormat="1" ht="14.25">
      <c r="A23" s="209" t="s">
        <v>121</v>
      </c>
      <c r="B23" s="255">
        <f>2380-50</f>
        <v>2330</v>
      </c>
      <c r="C23" s="256"/>
      <c r="D23" s="266">
        <f t="shared" si="0"/>
        <v>2330</v>
      </c>
      <c r="E23" s="263"/>
      <c r="F23" s="55"/>
      <c r="G23" s="54"/>
      <c r="H23" s="54"/>
      <c r="I23" s="55"/>
      <c r="J23" s="55"/>
      <c r="K23" s="54"/>
      <c r="L23" s="55"/>
      <c r="M23" s="54"/>
      <c r="N23" s="54"/>
      <c r="O23" s="56"/>
      <c r="P23" s="208">
        <f t="shared" si="1"/>
        <v>4660</v>
      </c>
      <c r="Q23" s="57">
        <f t="shared" si="2"/>
        <v>0</v>
      </c>
    </row>
    <row r="24" spans="1:17" s="58" customFormat="1" ht="14.25">
      <c r="A24" s="209" t="s">
        <v>122</v>
      </c>
      <c r="B24" s="255">
        <v>850</v>
      </c>
      <c r="C24" s="256">
        <v>1500</v>
      </c>
      <c r="D24" s="266">
        <f t="shared" si="0"/>
        <v>2350</v>
      </c>
      <c r="E24" s="263"/>
      <c r="F24" s="55"/>
      <c r="G24" s="54"/>
      <c r="H24" s="54"/>
      <c r="I24" s="55"/>
      <c r="J24" s="55"/>
      <c r="K24" s="54"/>
      <c r="L24" s="55"/>
      <c r="M24" s="54"/>
      <c r="N24" s="54"/>
      <c r="O24" s="56"/>
      <c r="P24" s="208">
        <f t="shared" si="1"/>
        <v>4700</v>
      </c>
      <c r="Q24" s="57">
        <f t="shared" si="2"/>
        <v>0</v>
      </c>
    </row>
    <row r="25" spans="1:17" s="58" customFormat="1" ht="14.25">
      <c r="A25" s="209" t="s">
        <v>123</v>
      </c>
      <c r="B25" s="255">
        <v>1000</v>
      </c>
      <c r="C25" s="256"/>
      <c r="D25" s="266">
        <f t="shared" si="0"/>
        <v>1000</v>
      </c>
      <c r="E25" s="263"/>
      <c r="F25" s="54"/>
      <c r="G25" s="54"/>
      <c r="H25" s="54"/>
      <c r="I25" s="54"/>
      <c r="J25" s="54"/>
      <c r="K25" s="54"/>
      <c r="L25" s="55"/>
      <c r="M25" s="54"/>
      <c r="N25" s="54"/>
      <c r="O25" s="56"/>
      <c r="P25" s="208">
        <f t="shared" si="1"/>
        <v>2000</v>
      </c>
      <c r="Q25" s="57">
        <f t="shared" si="2"/>
        <v>0</v>
      </c>
    </row>
    <row r="26" spans="1:17" s="58" customFormat="1" ht="14.25">
      <c r="A26" s="209" t="s">
        <v>124</v>
      </c>
      <c r="B26" s="255">
        <v>375</v>
      </c>
      <c r="C26" s="256"/>
      <c r="D26" s="266">
        <f t="shared" si="0"/>
        <v>375</v>
      </c>
      <c r="E26" s="263"/>
      <c r="F26" s="55"/>
      <c r="G26" s="54"/>
      <c r="H26" s="54"/>
      <c r="I26" s="55"/>
      <c r="J26" s="55"/>
      <c r="K26" s="54"/>
      <c r="L26" s="55"/>
      <c r="M26" s="54"/>
      <c r="N26" s="54"/>
      <c r="O26" s="56"/>
      <c r="P26" s="208">
        <f t="shared" si="1"/>
        <v>750</v>
      </c>
      <c r="Q26" s="57">
        <f t="shared" si="2"/>
        <v>0</v>
      </c>
    </row>
    <row r="27" spans="1:17" s="58" customFormat="1" ht="14.25">
      <c r="A27" s="209" t="s">
        <v>125</v>
      </c>
      <c r="B27" s="255">
        <v>1976</v>
      </c>
      <c r="C27" s="256">
        <v>2724</v>
      </c>
      <c r="D27" s="266">
        <f t="shared" si="0"/>
        <v>4700</v>
      </c>
      <c r="E27" s="263"/>
      <c r="F27" s="55"/>
      <c r="G27" s="54"/>
      <c r="H27" s="54"/>
      <c r="I27" s="55"/>
      <c r="J27" s="55"/>
      <c r="K27" s="54"/>
      <c r="L27" s="55"/>
      <c r="M27" s="54"/>
      <c r="N27" s="54"/>
      <c r="O27" s="56"/>
      <c r="P27" s="208">
        <f t="shared" si="1"/>
        <v>9400</v>
      </c>
      <c r="Q27" s="57">
        <f t="shared" si="2"/>
        <v>0</v>
      </c>
    </row>
    <row r="28" spans="1:17" s="58" customFormat="1" ht="14.25">
      <c r="A28" s="209" t="s">
        <v>126</v>
      </c>
      <c r="B28" s="255">
        <v>4500</v>
      </c>
      <c r="C28" s="256">
        <v>550</v>
      </c>
      <c r="D28" s="266">
        <f t="shared" si="0"/>
        <v>5050</v>
      </c>
      <c r="E28" s="263"/>
      <c r="F28" s="55"/>
      <c r="G28" s="54"/>
      <c r="H28" s="54"/>
      <c r="I28" s="55"/>
      <c r="J28" s="55"/>
      <c r="K28" s="54"/>
      <c r="L28" s="55"/>
      <c r="M28" s="54"/>
      <c r="N28" s="54"/>
      <c r="O28" s="56"/>
      <c r="P28" s="208">
        <f t="shared" si="1"/>
        <v>10100</v>
      </c>
      <c r="Q28" s="57">
        <f t="shared" si="2"/>
        <v>0</v>
      </c>
    </row>
    <row r="29" spans="1:17" s="58" customFormat="1" ht="14.25">
      <c r="A29" s="209" t="s">
        <v>127</v>
      </c>
      <c r="B29" s="255"/>
      <c r="C29" s="256">
        <v>295</v>
      </c>
      <c r="D29" s="266">
        <f t="shared" si="0"/>
        <v>295</v>
      </c>
      <c r="E29" s="263"/>
      <c r="F29" s="55"/>
      <c r="G29" s="54"/>
      <c r="H29" s="54"/>
      <c r="I29" s="55"/>
      <c r="J29" s="55"/>
      <c r="K29" s="54"/>
      <c r="L29" s="55"/>
      <c r="M29" s="54"/>
      <c r="N29" s="54"/>
      <c r="O29" s="56"/>
      <c r="P29" s="208">
        <f t="shared" si="1"/>
        <v>590</v>
      </c>
      <c r="Q29" s="57">
        <f t="shared" si="2"/>
        <v>0</v>
      </c>
    </row>
    <row r="30" spans="1:17" s="58" customFormat="1" ht="14.25">
      <c r="A30" s="209" t="s">
        <v>128</v>
      </c>
      <c r="B30" s="255">
        <v>700</v>
      </c>
      <c r="C30" s="256">
        <v>1955</v>
      </c>
      <c r="D30" s="266">
        <f t="shared" si="0"/>
        <v>2655</v>
      </c>
      <c r="E30" s="263"/>
      <c r="F30" s="55"/>
      <c r="G30" s="54"/>
      <c r="H30" s="54"/>
      <c r="I30" s="55"/>
      <c r="J30" s="55"/>
      <c r="K30" s="54"/>
      <c r="L30" s="55"/>
      <c r="M30" s="54"/>
      <c r="N30" s="54"/>
      <c r="O30" s="56"/>
      <c r="P30" s="208">
        <f t="shared" si="1"/>
        <v>5310</v>
      </c>
      <c r="Q30" s="57">
        <f t="shared" si="2"/>
        <v>0</v>
      </c>
    </row>
    <row r="31" spans="1:17" s="58" customFormat="1" ht="14.25">
      <c r="A31" s="209" t="s">
        <v>129</v>
      </c>
      <c r="B31" s="255">
        <v>1500</v>
      </c>
      <c r="C31" s="256"/>
      <c r="D31" s="266">
        <f t="shared" si="0"/>
        <v>1500</v>
      </c>
      <c r="E31" s="263"/>
      <c r="F31" s="55"/>
      <c r="G31" s="54"/>
      <c r="H31" s="54"/>
      <c r="I31" s="55"/>
      <c r="J31" s="55"/>
      <c r="K31" s="54"/>
      <c r="L31" s="55"/>
      <c r="M31" s="54"/>
      <c r="N31" s="54"/>
      <c r="O31" s="56"/>
      <c r="P31" s="208">
        <f t="shared" si="1"/>
        <v>3000</v>
      </c>
      <c r="Q31" s="57">
        <f t="shared" si="2"/>
        <v>0</v>
      </c>
    </row>
    <row r="32" spans="1:17" s="58" customFormat="1" ht="14.25">
      <c r="A32" s="209" t="s">
        <v>130</v>
      </c>
      <c r="B32" s="255">
        <v>755</v>
      </c>
      <c r="C32" s="256">
        <v>800</v>
      </c>
      <c r="D32" s="266">
        <f t="shared" si="0"/>
        <v>1555</v>
      </c>
      <c r="E32" s="263"/>
      <c r="F32" s="55"/>
      <c r="G32" s="54"/>
      <c r="H32" s="54"/>
      <c r="I32" s="55"/>
      <c r="J32" s="55"/>
      <c r="K32" s="54"/>
      <c r="L32" s="55"/>
      <c r="M32" s="54"/>
      <c r="N32" s="54"/>
      <c r="O32" s="56"/>
      <c r="P32" s="208">
        <f t="shared" si="1"/>
        <v>3110</v>
      </c>
      <c r="Q32" s="57">
        <f t="shared" si="2"/>
        <v>0</v>
      </c>
    </row>
    <row r="33" spans="1:17" s="58" customFormat="1" ht="14.25">
      <c r="A33" s="209" t="s">
        <v>131</v>
      </c>
      <c r="B33" s="255">
        <v>500</v>
      </c>
      <c r="C33" s="256"/>
      <c r="D33" s="266">
        <f t="shared" si="0"/>
        <v>500</v>
      </c>
      <c r="E33" s="263"/>
      <c r="F33" s="55"/>
      <c r="G33" s="54"/>
      <c r="H33" s="54"/>
      <c r="I33" s="55"/>
      <c r="J33" s="55"/>
      <c r="K33" s="54"/>
      <c r="L33" s="55"/>
      <c r="M33" s="54"/>
      <c r="N33" s="54"/>
      <c r="O33" s="56"/>
      <c r="P33" s="208">
        <f t="shared" si="1"/>
        <v>1000</v>
      </c>
      <c r="Q33" s="57">
        <f t="shared" si="2"/>
        <v>0</v>
      </c>
    </row>
    <row r="34" spans="1:17" s="58" customFormat="1" ht="14.25">
      <c r="A34" s="209" t="s">
        <v>132</v>
      </c>
      <c r="B34" s="255"/>
      <c r="C34" s="256">
        <v>150</v>
      </c>
      <c r="D34" s="266">
        <f t="shared" si="0"/>
        <v>150</v>
      </c>
      <c r="E34" s="263"/>
      <c r="F34" s="55"/>
      <c r="G34" s="54"/>
      <c r="H34" s="54"/>
      <c r="I34" s="55"/>
      <c r="J34" s="55"/>
      <c r="K34" s="54"/>
      <c r="L34" s="55"/>
      <c r="M34" s="54"/>
      <c r="N34" s="54"/>
      <c r="O34" s="56"/>
      <c r="P34" s="208">
        <f t="shared" si="1"/>
        <v>300</v>
      </c>
      <c r="Q34" s="57">
        <f t="shared" si="2"/>
        <v>0</v>
      </c>
    </row>
    <row r="35" spans="1:17" s="58" customFormat="1" ht="14.25">
      <c r="A35" s="209" t="s">
        <v>133</v>
      </c>
      <c r="B35" s="255">
        <v>6050</v>
      </c>
      <c r="C35" s="256"/>
      <c r="D35" s="266">
        <f t="shared" si="0"/>
        <v>6050</v>
      </c>
      <c r="E35" s="263"/>
      <c r="F35" s="55"/>
      <c r="G35" s="54"/>
      <c r="H35" s="54"/>
      <c r="I35" s="55"/>
      <c r="J35" s="55"/>
      <c r="K35" s="54"/>
      <c r="L35" s="55"/>
      <c r="M35" s="54"/>
      <c r="N35" s="54"/>
      <c r="O35" s="56"/>
      <c r="P35" s="208">
        <f t="shared" si="1"/>
        <v>12100</v>
      </c>
      <c r="Q35" s="57">
        <f t="shared" si="2"/>
        <v>0</v>
      </c>
    </row>
    <row r="36" spans="1:17" s="58" customFormat="1" ht="14.25">
      <c r="A36" s="209" t="s">
        <v>134</v>
      </c>
      <c r="B36" s="255">
        <v>500</v>
      </c>
      <c r="C36" s="256">
        <v>250</v>
      </c>
      <c r="D36" s="266">
        <f t="shared" si="0"/>
        <v>750</v>
      </c>
      <c r="E36" s="263"/>
      <c r="F36" s="55"/>
      <c r="G36" s="54"/>
      <c r="H36" s="54"/>
      <c r="I36" s="55"/>
      <c r="J36" s="55"/>
      <c r="K36" s="54"/>
      <c r="L36" s="55"/>
      <c r="M36" s="54"/>
      <c r="N36" s="54"/>
      <c r="O36" s="56"/>
      <c r="P36" s="208">
        <f t="shared" si="1"/>
        <v>1500</v>
      </c>
      <c r="Q36" s="57">
        <f t="shared" si="2"/>
        <v>0</v>
      </c>
    </row>
    <row r="37" spans="1:17" s="58" customFormat="1" ht="14.25">
      <c r="A37" s="209" t="s">
        <v>135</v>
      </c>
      <c r="B37" s="255">
        <v>375</v>
      </c>
      <c r="C37" s="256"/>
      <c r="D37" s="266">
        <f t="shared" si="0"/>
        <v>375</v>
      </c>
      <c r="E37" s="263"/>
      <c r="F37" s="55"/>
      <c r="G37" s="54"/>
      <c r="H37" s="54"/>
      <c r="I37" s="55"/>
      <c r="J37" s="55"/>
      <c r="K37" s="54"/>
      <c r="L37" s="55"/>
      <c r="M37" s="54"/>
      <c r="N37" s="54"/>
      <c r="O37" s="56"/>
      <c r="P37" s="208">
        <f t="shared" si="1"/>
        <v>750</v>
      </c>
      <c r="Q37" s="57">
        <f t="shared" si="2"/>
        <v>0</v>
      </c>
    </row>
    <row r="38" spans="1:17" s="58" customFormat="1" ht="14.25">
      <c r="A38" s="209" t="s">
        <v>136</v>
      </c>
      <c r="B38" s="255"/>
      <c r="C38" s="256"/>
      <c r="D38" s="266">
        <f t="shared" si="0"/>
        <v>0</v>
      </c>
      <c r="E38" s="263"/>
      <c r="F38" s="55"/>
      <c r="G38" s="54"/>
      <c r="H38" s="54"/>
      <c r="I38" s="55"/>
      <c r="J38" s="55"/>
      <c r="K38" s="54"/>
      <c r="L38" s="55"/>
      <c r="M38" s="54"/>
      <c r="N38" s="54"/>
      <c r="O38" s="56"/>
      <c r="P38" s="208">
        <f t="shared" si="1"/>
        <v>0</v>
      </c>
      <c r="Q38" s="57">
        <f t="shared" si="2"/>
        <v>0</v>
      </c>
    </row>
    <row r="39" spans="1:17" s="58" customFormat="1" ht="14.25">
      <c r="A39" s="209" t="s">
        <v>137</v>
      </c>
      <c r="B39" s="255">
        <v>190</v>
      </c>
      <c r="C39" s="256">
        <v>455</v>
      </c>
      <c r="D39" s="266">
        <f t="shared" si="0"/>
        <v>645</v>
      </c>
      <c r="E39" s="263"/>
      <c r="F39" s="55"/>
      <c r="G39" s="54"/>
      <c r="H39" s="54"/>
      <c r="I39" s="55"/>
      <c r="J39" s="55"/>
      <c r="K39" s="54"/>
      <c r="L39" s="55"/>
      <c r="M39" s="54"/>
      <c r="N39" s="54"/>
      <c r="O39" s="56"/>
      <c r="P39" s="208">
        <f t="shared" si="1"/>
        <v>1290</v>
      </c>
      <c r="Q39" s="57">
        <f t="shared" si="2"/>
        <v>0</v>
      </c>
    </row>
    <row r="40" spans="1:17" s="58" customFormat="1" ht="14.25">
      <c r="A40" s="209" t="s">
        <v>138</v>
      </c>
      <c r="B40" s="255">
        <v>745</v>
      </c>
      <c r="C40" s="256">
        <v>875</v>
      </c>
      <c r="D40" s="266">
        <f t="shared" si="0"/>
        <v>1620</v>
      </c>
      <c r="E40" s="263"/>
      <c r="F40" s="55"/>
      <c r="G40" s="54"/>
      <c r="H40" s="54"/>
      <c r="I40" s="55"/>
      <c r="J40" s="55"/>
      <c r="K40" s="54"/>
      <c r="L40" s="55"/>
      <c r="M40" s="54"/>
      <c r="N40" s="54"/>
      <c r="O40" s="56"/>
      <c r="P40" s="208">
        <f t="shared" si="1"/>
        <v>3240</v>
      </c>
      <c r="Q40" s="57">
        <f t="shared" si="2"/>
        <v>0</v>
      </c>
    </row>
    <row r="41" spans="1:17" s="58" customFormat="1" ht="14.25">
      <c r="A41" s="209" t="s">
        <v>139</v>
      </c>
      <c r="B41" s="255">
        <v>375</v>
      </c>
      <c r="C41" s="256"/>
      <c r="D41" s="266">
        <f t="shared" si="0"/>
        <v>375</v>
      </c>
      <c r="E41" s="263"/>
      <c r="F41" s="55"/>
      <c r="G41" s="54"/>
      <c r="H41" s="54"/>
      <c r="I41" s="55"/>
      <c r="J41" s="55"/>
      <c r="K41" s="54"/>
      <c r="L41" s="55"/>
      <c r="M41" s="54"/>
      <c r="N41" s="54"/>
      <c r="O41" s="56"/>
      <c r="P41" s="208">
        <f t="shared" si="1"/>
        <v>750</v>
      </c>
      <c r="Q41" s="57">
        <f t="shared" si="2"/>
        <v>0</v>
      </c>
    </row>
    <row r="42" spans="1:17" s="58" customFormat="1" ht="14.25">
      <c r="A42" s="209" t="s">
        <v>140</v>
      </c>
      <c r="B42" s="255">
        <v>1900</v>
      </c>
      <c r="C42" s="256">
        <v>1062</v>
      </c>
      <c r="D42" s="266">
        <f t="shared" si="0"/>
        <v>2962</v>
      </c>
      <c r="E42" s="263"/>
      <c r="F42" s="55"/>
      <c r="G42" s="54"/>
      <c r="H42" s="54"/>
      <c r="I42" s="55"/>
      <c r="J42" s="55"/>
      <c r="K42" s="54"/>
      <c r="L42" s="55"/>
      <c r="M42" s="54"/>
      <c r="N42" s="54"/>
      <c r="O42" s="56"/>
      <c r="P42" s="208">
        <f t="shared" si="1"/>
        <v>5924</v>
      </c>
      <c r="Q42" s="57">
        <f t="shared" si="2"/>
        <v>0</v>
      </c>
    </row>
    <row r="43" spans="1:17" s="58" customFormat="1" ht="14.25">
      <c r="A43" s="209" t="s">
        <v>141</v>
      </c>
      <c r="B43" s="255">
        <v>400</v>
      </c>
      <c r="C43" s="256"/>
      <c r="D43" s="266">
        <f t="shared" si="0"/>
        <v>400</v>
      </c>
      <c r="E43" s="263"/>
      <c r="F43" s="55"/>
      <c r="G43" s="54"/>
      <c r="H43" s="54"/>
      <c r="I43" s="55"/>
      <c r="J43" s="55"/>
      <c r="K43" s="54"/>
      <c r="L43" s="55"/>
      <c r="M43" s="54"/>
      <c r="N43" s="54"/>
      <c r="O43" s="56"/>
      <c r="P43" s="208">
        <f t="shared" si="1"/>
        <v>800</v>
      </c>
      <c r="Q43" s="57">
        <f t="shared" si="2"/>
        <v>0</v>
      </c>
    </row>
    <row r="44" spans="1:17" s="58" customFormat="1" ht="14.25">
      <c r="A44" s="209" t="s">
        <v>142</v>
      </c>
      <c r="B44" s="255">
        <v>200</v>
      </c>
      <c r="C44" s="256"/>
      <c r="D44" s="266">
        <f t="shared" si="0"/>
        <v>200</v>
      </c>
      <c r="E44" s="263"/>
      <c r="F44" s="55"/>
      <c r="G44" s="54"/>
      <c r="H44" s="54"/>
      <c r="I44" s="55"/>
      <c r="J44" s="55"/>
      <c r="K44" s="54"/>
      <c r="L44" s="55"/>
      <c r="M44" s="54"/>
      <c r="N44" s="54"/>
      <c r="O44" s="56"/>
      <c r="P44" s="208">
        <f t="shared" si="1"/>
        <v>400</v>
      </c>
      <c r="Q44" s="57">
        <f t="shared" si="2"/>
        <v>0</v>
      </c>
    </row>
    <row r="45" spans="1:17" s="58" customFormat="1" ht="14.25">
      <c r="A45" s="209" t="s">
        <v>143</v>
      </c>
      <c r="B45" s="255">
        <v>480</v>
      </c>
      <c r="C45" s="256">
        <v>1040</v>
      </c>
      <c r="D45" s="266">
        <f t="shared" si="0"/>
        <v>1520</v>
      </c>
      <c r="E45" s="263"/>
      <c r="F45" s="55"/>
      <c r="G45" s="54"/>
      <c r="H45" s="54"/>
      <c r="I45" s="55"/>
      <c r="J45" s="55"/>
      <c r="K45" s="54"/>
      <c r="L45" s="55"/>
      <c r="M45" s="54"/>
      <c r="N45" s="54"/>
      <c r="O45" s="56"/>
      <c r="P45" s="208">
        <f t="shared" si="1"/>
        <v>3040</v>
      </c>
      <c r="Q45" s="57">
        <f t="shared" si="2"/>
        <v>0</v>
      </c>
    </row>
    <row r="46" spans="1:17" s="58" customFormat="1" ht="14.25">
      <c r="A46" s="209" t="s">
        <v>144</v>
      </c>
      <c r="B46" s="255">
        <v>250</v>
      </c>
      <c r="C46" s="256"/>
      <c r="D46" s="266">
        <f t="shared" si="0"/>
        <v>250</v>
      </c>
      <c r="E46" s="263"/>
      <c r="F46" s="55"/>
      <c r="G46" s="54"/>
      <c r="H46" s="54"/>
      <c r="I46" s="55"/>
      <c r="J46" s="55"/>
      <c r="K46" s="54"/>
      <c r="L46" s="55"/>
      <c r="M46" s="54"/>
      <c r="N46" s="54"/>
      <c r="O46" s="56"/>
      <c r="P46" s="208">
        <f t="shared" si="1"/>
        <v>500</v>
      </c>
      <c r="Q46" s="57">
        <f t="shared" si="2"/>
        <v>0</v>
      </c>
    </row>
    <row r="47" spans="1:17" s="58" customFormat="1" ht="14.25">
      <c r="A47" s="209" t="s">
        <v>145</v>
      </c>
      <c r="B47" s="255">
        <v>375</v>
      </c>
      <c r="C47" s="256"/>
      <c r="D47" s="266">
        <f t="shared" si="0"/>
        <v>375</v>
      </c>
      <c r="E47" s="263"/>
      <c r="F47" s="55"/>
      <c r="G47" s="54"/>
      <c r="H47" s="54"/>
      <c r="I47" s="55"/>
      <c r="J47" s="55"/>
      <c r="K47" s="54"/>
      <c r="L47" s="55"/>
      <c r="M47" s="54"/>
      <c r="N47" s="54"/>
      <c r="O47" s="56"/>
      <c r="P47" s="208">
        <f t="shared" si="1"/>
        <v>750</v>
      </c>
      <c r="Q47" s="57">
        <f t="shared" si="2"/>
        <v>0</v>
      </c>
    </row>
    <row r="48" spans="1:17" s="58" customFormat="1" ht="14.25">
      <c r="A48" s="209" t="s">
        <v>146</v>
      </c>
      <c r="B48" s="255">
        <v>495</v>
      </c>
      <c r="C48" s="256">
        <v>380</v>
      </c>
      <c r="D48" s="266">
        <f t="shared" si="0"/>
        <v>875</v>
      </c>
      <c r="E48" s="263"/>
      <c r="F48" s="55"/>
      <c r="G48" s="54"/>
      <c r="H48" s="54"/>
      <c r="I48" s="55"/>
      <c r="J48" s="55"/>
      <c r="K48" s="54"/>
      <c r="L48" s="55"/>
      <c r="M48" s="54"/>
      <c r="N48" s="54"/>
      <c r="O48" s="56"/>
      <c r="P48" s="208">
        <f t="shared" si="1"/>
        <v>1750</v>
      </c>
      <c r="Q48" s="57">
        <f t="shared" si="2"/>
        <v>0</v>
      </c>
    </row>
    <row r="49" spans="1:17" s="58" customFormat="1" ht="14.25">
      <c r="A49" s="209" t="s">
        <v>147</v>
      </c>
      <c r="B49" s="255">
        <v>550</v>
      </c>
      <c r="C49" s="256"/>
      <c r="D49" s="266">
        <f t="shared" si="0"/>
        <v>550</v>
      </c>
      <c r="E49" s="263"/>
      <c r="F49" s="55"/>
      <c r="G49" s="54"/>
      <c r="H49" s="54"/>
      <c r="I49" s="55"/>
      <c r="J49" s="55"/>
      <c r="K49" s="54"/>
      <c r="L49" s="55"/>
      <c r="M49" s="54"/>
      <c r="N49" s="54"/>
      <c r="O49" s="56"/>
      <c r="P49" s="208">
        <f t="shared" si="1"/>
        <v>1100</v>
      </c>
      <c r="Q49" s="57">
        <f t="shared" si="2"/>
        <v>0</v>
      </c>
    </row>
    <row r="50" spans="1:17" s="58" customFormat="1" ht="14.25">
      <c r="A50" s="209" t="s">
        <v>148</v>
      </c>
      <c r="B50" s="255"/>
      <c r="C50" s="256"/>
      <c r="D50" s="266">
        <f t="shared" si="0"/>
        <v>0</v>
      </c>
      <c r="E50" s="263"/>
      <c r="F50" s="55"/>
      <c r="G50" s="54"/>
      <c r="H50" s="54"/>
      <c r="I50" s="55"/>
      <c r="J50" s="55"/>
      <c r="K50" s="54"/>
      <c r="L50" s="55"/>
      <c r="M50" s="54"/>
      <c r="N50" s="54"/>
      <c r="O50" s="56"/>
      <c r="P50" s="208">
        <f t="shared" si="1"/>
        <v>0</v>
      </c>
      <c r="Q50" s="57">
        <f t="shared" si="2"/>
        <v>0</v>
      </c>
    </row>
    <row r="51" spans="1:17" s="58" customFormat="1" ht="14.25">
      <c r="A51" s="209" t="s">
        <v>149</v>
      </c>
      <c r="B51" s="255">
        <v>350</v>
      </c>
      <c r="C51" s="256">
        <v>660</v>
      </c>
      <c r="D51" s="266">
        <f t="shared" si="0"/>
        <v>1010</v>
      </c>
      <c r="E51" s="263"/>
      <c r="F51" s="55"/>
      <c r="G51" s="54"/>
      <c r="H51" s="54"/>
      <c r="I51" s="55"/>
      <c r="J51" s="55"/>
      <c r="K51" s="54"/>
      <c r="L51" s="55"/>
      <c r="M51" s="54"/>
      <c r="N51" s="54"/>
      <c r="O51" s="56"/>
      <c r="P51" s="208">
        <f t="shared" si="1"/>
        <v>2020</v>
      </c>
      <c r="Q51" s="57">
        <f t="shared" si="2"/>
        <v>0</v>
      </c>
    </row>
    <row r="52" spans="1:17" s="58" customFormat="1" ht="14.25">
      <c r="A52" s="209" t="s">
        <v>150</v>
      </c>
      <c r="B52" s="255">
        <v>465</v>
      </c>
      <c r="C52" s="256">
        <v>380</v>
      </c>
      <c r="D52" s="266">
        <f t="shared" si="0"/>
        <v>845</v>
      </c>
      <c r="E52" s="263"/>
      <c r="F52" s="55"/>
      <c r="G52" s="54"/>
      <c r="H52" s="54"/>
      <c r="I52" s="55"/>
      <c r="J52" s="55"/>
      <c r="K52" s="54"/>
      <c r="L52" s="55"/>
      <c r="M52" s="54"/>
      <c r="N52" s="54"/>
      <c r="O52" s="56"/>
      <c r="P52" s="208">
        <f t="shared" si="1"/>
        <v>1690</v>
      </c>
      <c r="Q52" s="57">
        <f t="shared" si="2"/>
        <v>0</v>
      </c>
    </row>
    <row r="53" spans="1:17" s="58" customFormat="1" ht="14.25">
      <c r="A53" s="209" t="s">
        <v>151</v>
      </c>
      <c r="B53" s="255">
        <v>300</v>
      </c>
      <c r="C53" s="256">
        <v>1680</v>
      </c>
      <c r="D53" s="266">
        <f t="shared" si="0"/>
        <v>1980</v>
      </c>
      <c r="E53" s="263"/>
      <c r="F53" s="55"/>
      <c r="G53" s="54"/>
      <c r="H53" s="54"/>
      <c r="I53" s="55"/>
      <c r="J53" s="55"/>
      <c r="K53" s="54"/>
      <c r="L53" s="55"/>
      <c r="M53" s="54"/>
      <c r="N53" s="54"/>
      <c r="O53" s="56"/>
      <c r="P53" s="208">
        <f t="shared" si="1"/>
        <v>3960</v>
      </c>
      <c r="Q53" s="57">
        <f t="shared" si="2"/>
        <v>0</v>
      </c>
    </row>
    <row r="54" spans="1:17" s="58" customFormat="1" ht="14.25">
      <c r="A54" s="209" t="s">
        <v>152</v>
      </c>
      <c r="B54" s="255"/>
      <c r="C54" s="256">
        <v>155</v>
      </c>
      <c r="D54" s="266">
        <f t="shared" si="0"/>
        <v>155</v>
      </c>
      <c r="E54" s="263"/>
      <c r="F54" s="55"/>
      <c r="G54" s="54"/>
      <c r="H54" s="54"/>
      <c r="I54" s="55"/>
      <c r="J54" s="55"/>
      <c r="K54" s="54"/>
      <c r="L54" s="55"/>
      <c r="M54" s="54"/>
      <c r="N54" s="54"/>
      <c r="O54" s="56"/>
      <c r="P54" s="208">
        <f t="shared" si="1"/>
        <v>310</v>
      </c>
      <c r="Q54" s="57">
        <f t="shared" si="2"/>
        <v>0</v>
      </c>
    </row>
    <row r="55" spans="1:16" s="58" customFormat="1" ht="15" thickBot="1">
      <c r="A55" s="210" t="s">
        <v>153</v>
      </c>
      <c r="B55" s="257">
        <v>1650</v>
      </c>
      <c r="C55" s="258"/>
      <c r="D55" s="267">
        <f t="shared" si="0"/>
        <v>1650</v>
      </c>
      <c r="E55" s="264"/>
      <c r="F55" s="63"/>
      <c r="G55" s="63"/>
      <c r="H55" s="63"/>
      <c r="I55" s="63"/>
      <c r="J55" s="63"/>
      <c r="K55" s="63"/>
      <c r="L55" s="63"/>
      <c r="M55" s="63"/>
      <c r="N55" s="63"/>
      <c r="O55" s="64"/>
      <c r="P55" s="208">
        <f t="shared" si="1"/>
        <v>3300</v>
      </c>
    </row>
    <row r="56" spans="1:17" s="72" customFormat="1" ht="15" thickBot="1">
      <c r="A56" s="259" t="s">
        <v>154</v>
      </c>
      <c r="B56" s="260">
        <f>SUM(B10:B55)</f>
        <v>43616</v>
      </c>
      <c r="C56" s="261">
        <f aca="true" t="shared" si="3" ref="C56:Q56">SUM(C10:C55)</f>
        <v>33441</v>
      </c>
      <c r="D56" s="262">
        <f t="shared" si="0"/>
        <v>77057</v>
      </c>
      <c r="E56" s="265">
        <f t="shared" si="3"/>
        <v>0</v>
      </c>
      <c r="F56" s="69">
        <f t="shared" si="3"/>
        <v>0</v>
      </c>
      <c r="G56" s="69">
        <f t="shared" si="3"/>
        <v>0</v>
      </c>
      <c r="H56" s="69">
        <f t="shared" si="3"/>
        <v>0</v>
      </c>
      <c r="I56" s="69">
        <f t="shared" si="3"/>
        <v>0</v>
      </c>
      <c r="J56" s="69">
        <f t="shared" si="3"/>
        <v>0</v>
      </c>
      <c r="K56" s="69">
        <f t="shared" si="3"/>
        <v>0</v>
      </c>
      <c r="L56" s="69">
        <f t="shared" si="3"/>
        <v>0</v>
      </c>
      <c r="M56" s="69">
        <f t="shared" si="3"/>
        <v>0</v>
      </c>
      <c r="N56" s="69">
        <f t="shared" si="3"/>
        <v>0</v>
      </c>
      <c r="O56" s="70">
        <f t="shared" si="3"/>
        <v>0</v>
      </c>
      <c r="P56" s="71">
        <f t="shared" si="3"/>
        <v>154114</v>
      </c>
      <c r="Q56" s="206">
        <f t="shared" si="3"/>
        <v>0</v>
      </c>
    </row>
    <row r="57" ht="13.5">
      <c r="A57" s="73"/>
    </row>
    <row r="58" spans="1:15" ht="13.5">
      <c r="A58" s="73"/>
      <c r="D58" s="105">
        <f>C56+D56+F58</f>
        <v>110498</v>
      </c>
      <c r="F58" s="74"/>
      <c r="J58" s="74"/>
      <c r="O58" s="74"/>
    </row>
    <row r="59" ht="13.5">
      <c r="A59" s="73"/>
    </row>
    <row r="60" ht="13.5">
      <c r="A60" s="73"/>
    </row>
    <row r="61" ht="13.5">
      <c r="A61" s="73"/>
    </row>
    <row r="62" ht="13.5">
      <c r="A62" s="73"/>
    </row>
    <row r="63" ht="13.5">
      <c r="A63" s="73"/>
    </row>
    <row r="64" ht="13.5">
      <c r="A64" s="73"/>
    </row>
    <row r="65" ht="13.5">
      <c r="A65" s="73"/>
    </row>
    <row r="66" ht="13.5">
      <c r="A66" s="73"/>
    </row>
    <row r="67" ht="13.5">
      <c r="A67" s="73"/>
    </row>
    <row r="68" ht="13.5">
      <c r="A68" s="73"/>
    </row>
    <row r="69" ht="13.5">
      <c r="A69" s="73"/>
    </row>
    <row r="70" ht="13.5">
      <c r="A70" s="58"/>
    </row>
    <row r="71" ht="13.5">
      <c r="A71" s="58"/>
    </row>
    <row r="72" ht="13.5">
      <c r="A72" s="58"/>
    </row>
    <row r="73" ht="13.5">
      <c r="A73" s="58"/>
    </row>
    <row r="74" ht="13.5">
      <c r="A74" s="58"/>
    </row>
    <row r="75" ht="13.5">
      <c r="A75" s="58"/>
    </row>
    <row r="76" ht="13.5">
      <c r="A76" s="58"/>
    </row>
    <row r="77" ht="13.5">
      <c r="A77" s="58"/>
    </row>
    <row r="78" ht="13.5">
      <c r="A78" s="58"/>
    </row>
    <row r="79" ht="13.5">
      <c r="A79" s="58"/>
    </row>
    <row r="80" ht="13.5">
      <c r="A80" s="58"/>
    </row>
    <row r="81" ht="13.5">
      <c r="A81" s="58"/>
    </row>
    <row r="82" ht="13.5">
      <c r="A82" s="58"/>
    </row>
    <row r="83" ht="13.5">
      <c r="A83" s="58"/>
    </row>
    <row r="84" ht="13.5">
      <c r="A84" s="58"/>
    </row>
    <row r="85" ht="13.5">
      <c r="A85" s="58"/>
    </row>
    <row r="86" ht="13.5">
      <c r="A86" s="58"/>
    </row>
    <row r="87" ht="13.5">
      <c r="A87" s="58"/>
    </row>
    <row r="88" ht="13.5">
      <c r="A88" s="58"/>
    </row>
    <row r="89" ht="13.5">
      <c r="A89" s="58"/>
    </row>
    <row r="90" ht="13.5">
      <c r="A90" s="58"/>
    </row>
    <row r="91" ht="13.5">
      <c r="A91" s="58"/>
    </row>
    <row r="92" ht="13.5">
      <c r="A92" s="58"/>
    </row>
    <row r="93" ht="13.5">
      <c r="A93" s="58"/>
    </row>
    <row r="94" ht="13.5">
      <c r="A94" s="58"/>
    </row>
    <row r="95" ht="13.5">
      <c r="A95" s="58"/>
    </row>
    <row r="96" ht="13.5">
      <c r="A96" s="58"/>
    </row>
  </sheetData>
  <mergeCells count="17">
    <mergeCell ref="A5:D5"/>
    <mergeCell ref="A7:A9"/>
    <mergeCell ref="B7:B9"/>
    <mergeCell ref="C7:C9"/>
    <mergeCell ref="D7:D9"/>
    <mergeCell ref="O7:O9"/>
    <mergeCell ref="P7:P9"/>
    <mergeCell ref="R7:R9"/>
    <mergeCell ref="E8:E9"/>
    <mergeCell ref="F8:M8"/>
    <mergeCell ref="N8:N9"/>
    <mergeCell ref="I9:J9"/>
    <mergeCell ref="C1:D1"/>
    <mergeCell ref="C2:D2"/>
    <mergeCell ref="N1:O1"/>
    <mergeCell ref="N3:P3"/>
    <mergeCell ref="C3:D3"/>
  </mergeCells>
  <printOptions/>
  <pageMargins left="1.17" right="0.28" top="0.2" bottom="0.38" header="0.25" footer="0.38"/>
  <pageSetup horizontalDpi="600" verticalDpi="600" orientation="portrait" paperSize="9" scale="9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="75" zoomScaleSheetLayoutView="75" workbookViewId="0" topLeftCell="A1">
      <selection activeCell="D13" sqref="D13"/>
    </sheetView>
  </sheetViews>
  <sheetFormatPr defaultColWidth="9.00390625" defaultRowHeight="12.75"/>
  <cols>
    <col min="2" max="2" width="36.375" style="0" customWidth="1"/>
    <col min="3" max="3" width="10.125" style="0" customWidth="1"/>
    <col min="4" max="4" width="10.625" style="0" customWidth="1"/>
    <col min="5" max="5" width="12.625" style="0" customWidth="1"/>
  </cols>
  <sheetData>
    <row r="1" spans="3:5" ht="12.75">
      <c r="C1" s="279" t="s">
        <v>305</v>
      </c>
      <c r="D1" s="279"/>
      <c r="E1" s="279"/>
    </row>
    <row r="2" spans="3:5" ht="12.75">
      <c r="C2" s="279" t="s">
        <v>1</v>
      </c>
      <c r="D2" s="279"/>
      <c r="E2" s="279"/>
    </row>
    <row r="3" spans="3:5" ht="12.75">
      <c r="C3" s="279" t="s">
        <v>306</v>
      </c>
      <c r="D3" s="279"/>
      <c r="E3" s="279"/>
    </row>
    <row r="4" spans="3:5" ht="12.75">
      <c r="C4" s="279"/>
      <c r="D4" s="279"/>
      <c r="E4" s="279"/>
    </row>
    <row r="5" spans="1:5" ht="12.75">
      <c r="A5" s="278" t="s">
        <v>307</v>
      </c>
      <c r="B5" s="278"/>
      <c r="C5" s="278"/>
      <c r="D5" s="278"/>
      <c r="E5" s="278"/>
    </row>
    <row r="7" ht="13.5" thickBot="1">
      <c r="E7" s="218" t="s">
        <v>202</v>
      </c>
    </row>
    <row r="8" spans="1:5" ht="26.25" thickBot="1">
      <c r="A8" s="219" t="s">
        <v>158</v>
      </c>
      <c r="B8" s="219" t="s">
        <v>308</v>
      </c>
      <c r="C8" s="219" t="s">
        <v>9</v>
      </c>
      <c r="D8" s="219" t="s">
        <v>160</v>
      </c>
      <c r="E8" s="219" t="s">
        <v>309</v>
      </c>
    </row>
    <row r="9" spans="1:5" ht="13.5" thickBot="1">
      <c r="A9" s="219">
        <v>1</v>
      </c>
      <c r="B9" s="219">
        <v>2</v>
      </c>
      <c r="C9" s="219">
        <v>3</v>
      </c>
      <c r="D9" s="219">
        <v>4</v>
      </c>
      <c r="E9" s="219">
        <v>5</v>
      </c>
    </row>
    <row r="10" spans="1:5" ht="13.5" thickBot="1">
      <c r="A10" s="219">
        <v>200000</v>
      </c>
      <c r="B10" s="220" t="s">
        <v>310</v>
      </c>
      <c r="C10" s="221">
        <f>D10+E10</f>
        <v>30670.8</v>
      </c>
      <c r="D10" s="229">
        <v>30670.8</v>
      </c>
      <c r="E10" s="222"/>
    </row>
    <row r="11" spans="1:5" ht="26.25" thickBot="1">
      <c r="A11" s="223">
        <v>208000</v>
      </c>
      <c r="B11" s="224" t="s">
        <v>311</v>
      </c>
      <c r="C11" s="221">
        <f>D11+E11</f>
        <v>30670.8</v>
      </c>
      <c r="D11" s="229">
        <v>30670.8</v>
      </c>
      <c r="E11" s="225"/>
    </row>
    <row r="12" spans="1:5" ht="13.5" thickBot="1">
      <c r="A12" s="223">
        <v>208100</v>
      </c>
      <c r="B12" s="224" t="s">
        <v>312</v>
      </c>
      <c r="C12" s="221">
        <f>D12+E12</f>
        <v>30670.8</v>
      </c>
      <c r="D12" s="229">
        <v>30670.8</v>
      </c>
      <c r="E12" s="226"/>
    </row>
    <row r="13" ht="12.75">
      <c r="B13" s="227"/>
    </row>
    <row r="14" ht="12.75">
      <c r="B14" s="227"/>
    </row>
    <row r="15" ht="12.75">
      <c r="B15" s="227"/>
    </row>
    <row r="16" ht="12.75">
      <c r="B16" s="227"/>
    </row>
    <row r="17" ht="12.75">
      <c r="B17" s="227"/>
    </row>
    <row r="18" ht="12.75">
      <c r="B18" s="227"/>
    </row>
    <row r="19" ht="12.75">
      <c r="B19" s="227"/>
    </row>
    <row r="20" ht="12.75">
      <c r="B20" s="227"/>
    </row>
    <row r="21" ht="12.75">
      <c r="B21" s="227"/>
    </row>
    <row r="22" ht="12.75">
      <c r="B22" s="227"/>
    </row>
    <row r="23" ht="12.75">
      <c r="B23" s="227"/>
    </row>
    <row r="24" ht="12.75">
      <c r="B24" s="227"/>
    </row>
    <row r="25" ht="12.75">
      <c r="B25" s="227"/>
    </row>
    <row r="26" ht="12.75">
      <c r="B26" s="227"/>
    </row>
    <row r="27" ht="12.75">
      <c r="B27" s="227"/>
    </row>
    <row r="28" ht="12.75">
      <c r="B28" s="227"/>
    </row>
    <row r="29" ht="12.75">
      <c r="B29" s="227"/>
    </row>
    <row r="30" ht="12.75">
      <c r="B30" s="227"/>
    </row>
    <row r="31" ht="12.75">
      <c r="B31" s="227"/>
    </row>
    <row r="32" ht="12.75">
      <c r="B32" s="227"/>
    </row>
  </sheetData>
  <mergeCells count="5">
    <mergeCell ref="A5:E5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80" zoomScaleNormal="70" zoomScaleSheetLayoutView="80" workbookViewId="0" topLeftCell="A61">
      <selection activeCell="D64" sqref="D64"/>
    </sheetView>
  </sheetViews>
  <sheetFormatPr defaultColWidth="9.00390625" defaultRowHeight="12.75"/>
  <cols>
    <col min="1" max="1" width="10.75390625" style="128" customWidth="1"/>
    <col min="2" max="2" width="44.125" style="79" customWidth="1"/>
    <col min="3" max="3" width="10.00390625" style="78" customWidth="1"/>
    <col min="4" max="4" width="11.375" style="78" customWidth="1"/>
    <col min="5" max="5" width="9.875" style="78" customWidth="1"/>
    <col min="6" max="6" width="11.125" style="78" customWidth="1"/>
    <col min="7" max="16384" width="9.125" style="78" customWidth="1"/>
  </cols>
  <sheetData>
    <row r="1" spans="2:6" ht="13.5">
      <c r="B1" s="78"/>
      <c r="D1" s="280" t="s">
        <v>156</v>
      </c>
      <c r="E1" s="280"/>
      <c r="F1" s="280"/>
    </row>
    <row r="2" spans="4:6" ht="13.5">
      <c r="D2" s="280" t="s">
        <v>1</v>
      </c>
      <c r="E2" s="280"/>
      <c r="F2" s="280"/>
    </row>
    <row r="3" spans="4:6" ht="13.5">
      <c r="D3" s="280" t="s">
        <v>324</v>
      </c>
      <c r="E3" s="280"/>
      <c r="F3" s="280"/>
    </row>
    <row r="4" spans="5:6" ht="14.25" customHeight="1">
      <c r="E4" s="280"/>
      <c r="F4" s="280"/>
    </row>
    <row r="5" ht="3.75" customHeight="1" hidden="1"/>
    <row r="6" spans="3:6" ht="15" customHeight="1">
      <c r="C6" s="80" t="s">
        <v>157</v>
      </c>
      <c r="D6" s="81"/>
      <c r="E6" s="81"/>
      <c r="F6" s="81"/>
    </row>
    <row r="7" ht="12.75" customHeight="1">
      <c r="F7" s="82" t="s">
        <v>202</v>
      </c>
    </row>
    <row r="8" ht="12" thickBot="1"/>
    <row r="9" ht="12" customHeight="1" hidden="1"/>
    <row r="10" spans="1:6" ht="14.25" thickBot="1">
      <c r="A10" s="275" t="s">
        <v>158</v>
      </c>
      <c r="B10" s="296" t="s">
        <v>159</v>
      </c>
      <c r="C10" s="298" t="s">
        <v>160</v>
      </c>
      <c r="D10" s="83" t="s">
        <v>161</v>
      </c>
      <c r="E10" s="237"/>
      <c r="F10" s="300" t="s">
        <v>9</v>
      </c>
    </row>
    <row r="11" spans="1:6" ht="41.25" thickBot="1">
      <c r="A11" s="276"/>
      <c r="B11" s="297"/>
      <c r="C11" s="299"/>
      <c r="D11" s="236" t="s">
        <v>9</v>
      </c>
      <c r="E11" s="238" t="s">
        <v>162</v>
      </c>
      <c r="F11" s="301"/>
    </row>
    <row r="12" spans="1:6" ht="14.25" thickBot="1">
      <c r="A12" s="243">
        <v>1</v>
      </c>
      <c r="B12" s="84">
        <v>2</v>
      </c>
      <c r="C12" s="85">
        <v>3</v>
      </c>
      <c r="D12" s="85">
        <v>4</v>
      </c>
      <c r="E12" s="85">
        <v>5</v>
      </c>
      <c r="F12" s="85" t="s">
        <v>163</v>
      </c>
    </row>
    <row r="13" spans="1:7" s="124" customFormat="1" ht="12.75">
      <c r="A13" s="129">
        <v>10000000</v>
      </c>
      <c r="B13" s="120" t="s">
        <v>164</v>
      </c>
      <c r="C13" s="121">
        <f>C14+C20+C22</f>
        <v>443814.3</v>
      </c>
      <c r="D13" s="121">
        <f>D18+D22</f>
        <v>29400</v>
      </c>
      <c r="E13" s="121" t="s">
        <v>165</v>
      </c>
      <c r="F13" s="122">
        <f>C13+D13</f>
        <v>473214.3</v>
      </c>
      <c r="G13" s="123"/>
    </row>
    <row r="14" spans="1:6" ht="27">
      <c r="A14" s="130">
        <v>11000000</v>
      </c>
      <c r="B14" s="32" t="s">
        <v>166</v>
      </c>
      <c r="C14" s="87">
        <f>C15+C16</f>
        <v>359082.3</v>
      </c>
      <c r="D14" s="87" t="s">
        <v>165</v>
      </c>
      <c r="E14" s="87" t="s">
        <v>165</v>
      </c>
      <c r="F14" s="115">
        <f>F15+F16</f>
        <v>359082.3</v>
      </c>
    </row>
    <row r="15" spans="1:6" ht="13.5">
      <c r="A15" s="130">
        <v>11010000</v>
      </c>
      <c r="B15" s="32" t="s">
        <v>167</v>
      </c>
      <c r="C15" s="88">
        <v>358662.3</v>
      </c>
      <c r="D15" s="87" t="s">
        <v>165</v>
      </c>
      <c r="E15" s="87" t="s">
        <v>165</v>
      </c>
      <c r="F15" s="115">
        <f>C15</f>
        <v>358662.3</v>
      </c>
    </row>
    <row r="16" spans="1:6" ht="13.5">
      <c r="A16" s="130">
        <v>11020000</v>
      </c>
      <c r="B16" s="32" t="s">
        <v>168</v>
      </c>
      <c r="C16" s="87">
        <f>C17</f>
        <v>420</v>
      </c>
      <c r="D16" s="87" t="s">
        <v>165</v>
      </c>
      <c r="E16" s="87" t="s">
        <v>165</v>
      </c>
      <c r="F16" s="115">
        <f>C16</f>
        <v>420</v>
      </c>
    </row>
    <row r="17" spans="1:6" ht="27">
      <c r="A17" s="130">
        <v>11020200</v>
      </c>
      <c r="B17" s="32" t="s">
        <v>169</v>
      </c>
      <c r="C17" s="88">
        <v>420</v>
      </c>
      <c r="D17" s="87" t="s">
        <v>165</v>
      </c>
      <c r="E17" s="87" t="s">
        <v>165</v>
      </c>
      <c r="F17" s="115">
        <f>C17</f>
        <v>420</v>
      </c>
    </row>
    <row r="18" spans="1:6" ht="13.5">
      <c r="A18" s="130">
        <v>12000000</v>
      </c>
      <c r="B18" s="32" t="s">
        <v>170</v>
      </c>
      <c r="C18" s="87" t="s">
        <v>165</v>
      </c>
      <c r="D18" s="87">
        <f>D19</f>
        <v>28100</v>
      </c>
      <c r="E18" s="87" t="s">
        <v>165</v>
      </c>
      <c r="F18" s="115">
        <f>F19</f>
        <v>28100</v>
      </c>
    </row>
    <row r="19" spans="1:6" ht="27">
      <c r="A19" s="130">
        <v>12020000</v>
      </c>
      <c r="B19" s="32" t="s">
        <v>171</v>
      </c>
      <c r="C19" s="87" t="s">
        <v>165</v>
      </c>
      <c r="D19" s="88">
        <v>28100</v>
      </c>
      <c r="E19" s="87" t="s">
        <v>165</v>
      </c>
      <c r="F19" s="115">
        <v>28100</v>
      </c>
    </row>
    <row r="20" spans="1:6" ht="27">
      <c r="A20" s="130">
        <v>13000000</v>
      </c>
      <c r="B20" s="32" t="s">
        <v>172</v>
      </c>
      <c r="C20" s="87">
        <f>C21</f>
        <v>66250</v>
      </c>
      <c r="D20" s="87" t="s">
        <v>165</v>
      </c>
      <c r="E20" s="87" t="s">
        <v>165</v>
      </c>
      <c r="F20" s="115">
        <f>F21</f>
        <v>66250</v>
      </c>
    </row>
    <row r="21" spans="1:6" ht="13.5">
      <c r="A21" s="130">
        <v>13050000</v>
      </c>
      <c r="B21" s="32" t="s">
        <v>173</v>
      </c>
      <c r="C21" s="88">
        <v>66250</v>
      </c>
      <c r="D21" s="87" t="s">
        <v>165</v>
      </c>
      <c r="E21" s="87" t="s">
        <v>165</v>
      </c>
      <c r="F21" s="115">
        <v>66250</v>
      </c>
    </row>
    <row r="22" spans="1:6" ht="13.5" customHeight="1">
      <c r="A22" s="130">
        <v>14000000</v>
      </c>
      <c r="B22" s="32" t="s">
        <v>174</v>
      </c>
      <c r="C22" s="87">
        <f>C23+C24+C25</f>
        <v>18482</v>
      </c>
      <c r="D22" s="87">
        <f>D26</f>
        <v>1300</v>
      </c>
      <c r="E22" s="87" t="s">
        <v>165</v>
      </c>
      <c r="F22" s="115">
        <f>C22+D22</f>
        <v>19782</v>
      </c>
    </row>
    <row r="23" spans="1:6" ht="13.5">
      <c r="A23" s="130">
        <v>14060200</v>
      </c>
      <c r="B23" s="32" t="s">
        <v>175</v>
      </c>
      <c r="C23" s="88">
        <v>460</v>
      </c>
      <c r="D23" s="87" t="s">
        <v>165</v>
      </c>
      <c r="E23" s="87" t="s">
        <v>165</v>
      </c>
      <c r="F23" s="115">
        <f>C23</f>
        <v>460</v>
      </c>
    </row>
    <row r="24" spans="1:6" ht="27">
      <c r="A24" s="130">
        <v>14060300</v>
      </c>
      <c r="B24" s="32" t="s">
        <v>176</v>
      </c>
      <c r="C24" s="88">
        <v>22</v>
      </c>
      <c r="D24" s="87" t="s">
        <v>165</v>
      </c>
      <c r="E24" s="87" t="s">
        <v>165</v>
      </c>
      <c r="F24" s="115">
        <f>C24</f>
        <v>22</v>
      </c>
    </row>
    <row r="25" spans="1:6" ht="27">
      <c r="A25" s="130">
        <v>14061100</v>
      </c>
      <c r="B25" s="32" t="s">
        <v>177</v>
      </c>
      <c r="C25" s="88">
        <v>18000</v>
      </c>
      <c r="D25" s="87" t="s">
        <v>165</v>
      </c>
      <c r="E25" s="87" t="s">
        <v>165</v>
      </c>
      <c r="F25" s="115">
        <f>C25</f>
        <v>18000</v>
      </c>
    </row>
    <row r="26" spans="1:6" ht="27">
      <c r="A26" s="130">
        <v>14070000</v>
      </c>
      <c r="B26" s="32" t="s">
        <v>178</v>
      </c>
      <c r="C26" s="87" t="s">
        <v>165</v>
      </c>
      <c r="D26" s="87">
        <f>D27</f>
        <v>1300</v>
      </c>
      <c r="E26" s="87" t="s">
        <v>165</v>
      </c>
      <c r="F26" s="115">
        <f>F27</f>
        <v>1300</v>
      </c>
    </row>
    <row r="27" spans="1:6" ht="40.5">
      <c r="A27" s="130">
        <v>14071500</v>
      </c>
      <c r="B27" s="32" t="s">
        <v>179</v>
      </c>
      <c r="C27" s="87" t="s">
        <v>165</v>
      </c>
      <c r="D27" s="88">
        <v>1300</v>
      </c>
      <c r="E27" s="87" t="s">
        <v>165</v>
      </c>
      <c r="F27" s="115">
        <f>D27</f>
        <v>1300</v>
      </c>
    </row>
    <row r="28" spans="1:6" s="124" customFormat="1" ht="12.75">
      <c r="A28" s="129">
        <v>20000000</v>
      </c>
      <c r="B28" s="120" t="s">
        <v>180</v>
      </c>
      <c r="C28" s="121">
        <f>C29+C32+C34+C37</f>
        <v>7358.4000000000015</v>
      </c>
      <c r="D28" s="121">
        <f>D31+D41</f>
        <v>20314.3</v>
      </c>
      <c r="E28" s="121" t="s">
        <v>165</v>
      </c>
      <c r="F28" s="125">
        <f>C28+D28</f>
        <v>27672.7</v>
      </c>
    </row>
    <row r="29" spans="1:6" ht="27">
      <c r="A29" s="130">
        <v>21000000</v>
      </c>
      <c r="B29" s="32" t="s">
        <v>181</v>
      </c>
      <c r="C29" s="87">
        <f>C30</f>
        <v>6362.4000000000015</v>
      </c>
      <c r="D29" s="87" t="s">
        <v>165</v>
      </c>
      <c r="E29" s="87" t="s">
        <v>165</v>
      </c>
      <c r="F29" s="115">
        <f>C29</f>
        <v>6362.4000000000015</v>
      </c>
    </row>
    <row r="30" spans="1:6" ht="26.25" customHeight="1">
      <c r="A30" s="130">
        <v>21040000</v>
      </c>
      <c r="B30" s="32" t="s">
        <v>259</v>
      </c>
      <c r="C30" s="87">
        <f>25223.3+0.4+38.7+2500-1000-400-20000</f>
        <v>6362.4000000000015</v>
      </c>
      <c r="D30" s="87" t="s">
        <v>165</v>
      </c>
      <c r="E30" s="87" t="s">
        <v>165</v>
      </c>
      <c r="F30" s="115">
        <f>C30</f>
        <v>6362.4000000000015</v>
      </c>
    </row>
    <row r="31" spans="1:6" ht="40.5">
      <c r="A31" s="130">
        <v>21110000</v>
      </c>
      <c r="B31" s="32" t="s">
        <v>182</v>
      </c>
      <c r="C31" s="87" t="s">
        <v>165</v>
      </c>
      <c r="D31" s="87">
        <v>665.4</v>
      </c>
      <c r="E31" s="87" t="s">
        <v>165</v>
      </c>
      <c r="F31" s="115">
        <f>D31</f>
        <v>665.4</v>
      </c>
    </row>
    <row r="32" spans="1:6" ht="27">
      <c r="A32" s="130">
        <v>22000000</v>
      </c>
      <c r="B32" s="32" t="s">
        <v>183</v>
      </c>
      <c r="C32" s="87">
        <f>C33</f>
        <v>750</v>
      </c>
      <c r="D32" s="87" t="s">
        <v>165</v>
      </c>
      <c r="E32" s="87" t="s">
        <v>165</v>
      </c>
      <c r="F32" s="115">
        <f>C32</f>
        <v>750</v>
      </c>
    </row>
    <row r="33" spans="1:6" ht="24.75" customHeight="1">
      <c r="A33" s="130">
        <v>22080000</v>
      </c>
      <c r="B33" s="89" t="s">
        <v>260</v>
      </c>
      <c r="C33" s="88">
        <v>750</v>
      </c>
      <c r="D33" s="87" t="s">
        <v>165</v>
      </c>
      <c r="E33" s="87" t="s">
        <v>165</v>
      </c>
      <c r="F33" s="115">
        <f>C33</f>
        <v>750</v>
      </c>
    </row>
    <row r="34" spans="1:6" ht="13.5">
      <c r="A34" s="130">
        <v>23000000</v>
      </c>
      <c r="B34" s="32" t="s">
        <v>184</v>
      </c>
      <c r="C34" s="87">
        <f>C36</f>
        <v>40</v>
      </c>
      <c r="D34" s="87" t="s">
        <v>165</v>
      </c>
      <c r="E34" s="87" t="s">
        <v>165</v>
      </c>
      <c r="F34" s="115">
        <f>C34</f>
        <v>40</v>
      </c>
    </row>
    <row r="35" spans="1:6" ht="81" hidden="1">
      <c r="A35" s="130">
        <v>23020000</v>
      </c>
      <c r="B35" s="32" t="s">
        <v>196</v>
      </c>
      <c r="C35" s="90" t="s">
        <v>165</v>
      </c>
      <c r="D35" s="90" t="s">
        <v>165</v>
      </c>
      <c r="E35" s="90" t="s">
        <v>165</v>
      </c>
      <c r="F35" s="116" t="s">
        <v>165</v>
      </c>
    </row>
    <row r="36" spans="1:6" ht="13.5">
      <c r="A36" s="130">
        <v>23030000</v>
      </c>
      <c r="B36" s="32" t="s">
        <v>185</v>
      </c>
      <c r="C36" s="88">
        <v>40</v>
      </c>
      <c r="D36" s="87" t="s">
        <v>165</v>
      </c>
      <c r="E36" s="87" t="s">
        <v>165</v>
      </c>
      <c r="F36" s="115">
        <f>C36</f>
        <v>40</v>
      </c>
    </row>
    <row r="37" spans="1:6" ht="13.5">
      <c r="A37" s="130">
        <v>24000000</v>
      </c>
      <c r="B37" s="32" t="s">
        <v>186</v>
      </c>
      <c r="C37" s="88">
        <f>C40</f>
        <v>206</v>
      </c>
      <c r="D37" s="87" t="s">
        <v>165</v>
      </c>
      <c r="E37" s="87" t="s">
        <v>165</v>
      </c>
      <c r="F37" s="115">
        <f>C37</f>
        <v>206</v>
      </c>
    </row>
    <row r="38" spans="1:6" ht="13.5" hidden="1">
      <c r="A38" s="130"/>
      <c r="B38" s="32"/>
      <c r="C38" s="87">
        <v>0</v>
      </c>
      <c r="D38" s="87" t="s">
        <v>165</v>
      </c>
      <c r="E38" s="87" t="s">
        <v>165</v>
      </c>
      <c r="F38" s="115">
        <v>0</v>
      </c>
    </row>
    <row r="39" spans="1:6" ht="54" hidden="1">
      <c r="A39" s="130">
        <v>24030000</v>
      </c>
      <c r="B39" s="32" t="s">
        <v>197</v>
      </c>
      <c r="C39" s="90" t="s">
        <v>165</v>
      </c>
      <c r="D39" s="90" t="s">
        <v>165</v>
      </c>
      <c r="E39" s="90" t="s">
        <v>165</v>
      </c>
      <c r="F39" s="116" t="s">
        <v>165</v>
      </c>
    </row>
    <row r="40" spans="1:6" ht="13.5">
      <c r="A40" s="130">
        <v>24060300</v>
      </c>
      <c r="B40" s="32" t="s">
        <v>187</v>
      </c>
      <c r="C40" s="87">
        <v>206</v>
      </c>
      <c r="D40" s="87" t="s">
        <v>165</v>
      </c>
      <c r="E40" s="87" t="s">
        <v>165</v>
      </c>
      <c r="F40" s="115">
        <f>C40</f>
        <v>206</v>
      </c>
    </row>
    <row r="41" spans="1:6" ht="13.5">
      <c r="A41" s="130">
        <v>25000000</v>
      </c>
      <c r="B41" s="32" t="s">
        <v>188</v>
      </c>
      <c r="C41" s="87" t="s">
        <v>165</v>
      </c>
      <c r="D41" s="88">
        <f>19387.1+197+64.8</f>
        <v>19648.899999999998</v>
      </c>
      <c r="E41" s="87" t="s">
        <v>165</v>
      </c>
      <c r="F41" s="115">
        <f>D41</f>
        <v>19648.899999999998</v>
      </c>
    </row>
    <row r="42" spans="1:6" s="94" customFormat="1" ht="51">
      <c r="A42" s="131">
        <v>31030000</v>
      </c>
      <c r="B42" s="91" t="s">
        <v>189</v>
      </c>
      <c r="C42" s="93" t="s">
        <v>165</v>
      </c>
      <c r="D42" s="92">
        <v>1000</v>
      </c>
      <c r="E42" s="92">
        <f>D42</f>
        <v>1000</v>
      </c>
      <c r="F42" s="117">
        <f>D42</f>
        <v>1000</v>
      </c>
    </row>
    <row r="43" spans="1:6" s="94" customFormat="1" ht="12.75">
      <c r="A43" s="131">
        <v>50000000</v>
      </c>
      <c r="B43" s="91" t="s">
        <v>57</v>
      </c>
      <c r="C43" s="93" t="s">
        <v>165</v>
      </c>
      <c r="D43" s="93">
        <f>D44</f>
        <v>38000</v>
      </c>
      <c r="E43" s="93" t="s">
        <v>165</v>
      </c>
      <c r="F43" s="117">
        <f>D43</f>
        <v>38000</v>
      </c>
    </row>
    <row r="44" spans="1:6" ht="14.25" thickBot="1">
      <c r="A44" s="147">
        <v>50080000</v>
      </c>
      <c r="B44" s="148" t="s">
        <v>190</v>
      </c>
      <c r="C44" s="149" t="s">
        <v>165</v>
      </c>
      <c r="D44" s="150">
        <v>38000</v>
      </c>
      <c r="E44" s="149" t="s">
        <v>165</v>
      </c>
      <c r="F44" s="151">
        <f>D44</f>
        <v>38000</v>
      </c>
    </row>
    <row r="45" spans="1:6" s="94" customFormat="1" ht="13.5" thickBot="1">
      <c r="A45" s="281" t="s">
        <v>191</v>
      </c>
      <c r="B45" s="282"/>
      <c r="C45" s="152">
        <f>C13+C28</f>
        <v>451172.7</v>
      </c>
      <c r="D45" s="152">
        <f>D13+D28+D42+D43</f>
        <v>88714.3</v>
      </c>
      <c r="E45" s="145">
        <f>E42</f>
        <v>1000</v>
      </c>
      <c r="F45" s="146">
        <f>C45+D45</f>
        <v>539887</v>
      </c>
    </row>
    <row r="46" spans="1:6" s="94" customFormat="1" ht="13.5" thickBot="1">
      <c r="A46" s="153"/>
      <c r="B46" s="154"/>
      <c r="C46" s="155"/>
      <c r="D46" s="155"/>
      <c r="E46" s="156"/>
      <c r="F46" s="157"/>
    </row>
    <row r="47" spans="1:6" ht="13.5" thickBot="1">
      <c r="A47" s="143">
        <v>40000000</v>
      </c>
      <c r="B47" s="144" t="s">
        <v>192</v>
      </c>
      <c r="C47" s="145">
        <f>C48+C49</f>
        <v>617356.4</v>
      </c>
      <c r="D47" s="145">
        <f>D49+D64</f>
        <v>72176</v>
      </c>
      <c r="E47" s="145">
        <f>E49+E64</f>
        <v>63138.2</v>
      </c>
      <c r="F47" s="146">
        <f>C47+D47</f>
        <v>689532.4</v>
      </c>
    </row>
    <row r="48" spans="1:6" ht="64.5" customHeight="1">
      <c r="A48" s="137">
        <v>41020600</v>
      </c>
      <c r="B48" s="136" t="s">
        <v>221</v>
      </c>
      <c r="C48" s="138">
        <v>29135.3</v>
      </c>
      <c r="D48" s="138" t="s">
        <v>165</v>
      </c>
      <c r="E48" s="138" t="s">
        <v>165</v>
      </c>
      <c r="F48" s="139">
        <f>C48</f>
        <v>29135.3</v>
      </c>
    </row>
    <row r="49" spans="1:6" ht="12.75">
      <c r="A49" s="131">
        <v>41030000</v>
      </c>
      <c r="B49" s="91" t="s">
        <v>193</v>
      </c>
      <c r="C49" s="93">
        <f>C52+C53+C54+C55+C56+C57+C58+C59+C60+C61+C51+C50+C62+C63</f>
        <v>588221.1</v>
      </c>
      <c r="D49" s="93">
        <f>D52+D53+D54+D55+D56+D57+D58+D59+D60+D61+D51+D50+D62+D63</f>
        <v>9444.3</v>
      </c>
      <c r="E49" s="93">
        <f>E52+E53+E54+E55+E56+E57+E58+E59+E60+E61+E51+E50+E62+E63</f>
        <v>406.5</v>
      </c>
      <c r="F49" s="117">
        <f aca="true" t="shared" si="0" ref="F49:F63">C49+D49</f>
        <v>597665.4</v>
      </c>
    </row>
    <row r="50" spans="1:6" ht="27">
      <c r="A50" s="130" t="s">
        <v>325</v>
      </c>
      <c r="B50" s="32" t="s">
        <v>326</v>
      </c>
      <c r="C50" s="87">
        <v>43616</v>
      </c>
      <c r="D50" s="87"/>
      <c r="E50" s="87"/>
      <c r="F50" s="115">
        <f>C50+D50</f>
        <v>43616</v>
      </c>
    </row>
    <row r="51" spans="1:6" ht="40.5">
      <c r="A51" s="130" t="s">
        <v>314</v>
      </c>
      <c r="B51" s="32" t="s">
        <v>315</v>
      </c>
      <c r="C51" s="87">
        <f>27940.1-255.2+7.2</f>
        <v>27692.1</v>
      </c>
      <c r="D51" s="87">
        <f>E51</f>
        <v>406.5</v>
      </c>
      <c r="E51" s="87">
        <v>406.5</v>
      </c>
      <c r="F51" s="115">
        <f>C51+D51</f>
        <v>28098.6</v>
      </c>
    </row>
    <row r="52" spans="1:6" ht="54">
      <c r="A52" s="130" t="s">
        <v>238</v>
      </c>
      <c r="B52" s="32" t="s">
        <v>239</v>
      </c>
      <c r="C52" s="87">
        <v>93935.5</v>
      </c>
      <c r="D52" s="87"/>
      <c r="E52" s="87"/>
      <c r="F52" s="115">
        <f t="shared" si="0"/>
        <v>93935.5</v>
      </c>
    </row>
    <row r="53" spans="1:6" ht="159.75" customHeight="1">
      <c r="A53" s="130">
        <v>41030700</v>
      </c>
      <c r="B53" s="113" t="s">
        <v>225</v>
      </c>
      <c r="C53" s="87">
        <v>6692.7</v>
      </c>
      <c r="D53" s="87"/>
      <c r="E53" s="87"/>
      <c r="F53" s="115">
        <f>C53+D53</f>
        <v>6692.7</v>
      </c>
    </row>
    <row r="54" spans="1:6" ht="160.5" customHeight="1">
      <c r="A54" s="130" t="s">
        <v>240</v>
      </c>
      <c r="B54" s="140" t="s">
        <v>296</v>
      </c>
      <c r="C54" s="87">
        <v>173905.7</v>
      </c>
      <c r="D54" s="87"/>
      <c r="E54" s="87"/>
      <c r="F54" s="115">
        <f>C54+D54</f>
        <v>173905.7</v>
      </c>
    </row>
    <row r="55" spans="1:6" ht="171.75" customHeight="1">
      <c r="A55" s="130" t="s">
        <v>241</v>
      </c>
      <c r="B55" s="113" t="s">
        <v>297</v>
      </c>
      <c r="C55" s="87">
        <v>60229.2</v>
      </c>
      <c r="D55" s="87"/>
      <c r="E55" s="87"/>
      <c r="F55" s="115">
        <f>C55+D55</f>
        <v>60229.2</v>
      </c>
    </row>
    <row r="56" spans="1:6" ht="109.5" customHeight="1">
      <c r="A56" s="130" t="s">
        <v>242</v>
      </c>
      <c r="B56" s="141" t="s">
        <v>243</v>
      </c>
      <c r="C56" s="138">
        <v>21042.2</v>
      </c>
      <c r="D56" s="138"/>
      <c r="E56" s="138"/>
      <c r="F56" s="115">
        <f>C56+D56</f>
        <v>21042.2</v>
      </c>
    </row>
    <row r="57" spans="1:6" ht="51.75" customHeight="1">
      <c r="A57" s="137">
        <v>41031900</v>
      </c>
      <c r="B57" s="95" t="s">
        <v>223</v>
      </c>
      <c r="C57" s="138">
        <v>10000</v>
      </c>
      <c r="D57" s="138"/>
      <c r="E57" s="138"/>
      <c r="F57" s="139">
        <f t="shared" si="0"/>
        <v>10000</v>
      </c>
    </row>
    <row r="58" spans="1:6" ht="55.5" customHeight="1">
      <c r="A58" s="130">
        <v>41033900</v>
      </c>
      <c r="B58" s="118" t="s">
        <v>224</v>
      </c>
      <c r="C58" s="87">
        <v>103623</v>
      </c>
      <c r="D58" s="87"/>
      <c r="E58" s="87"/>
      <c r="F58" s="115">
        <f t="shared" si="0"/>
        <v>103623</v>
      </c>
    </row>
    <row r="59" spans="1:6" ht="27.75" customHeight="1">
      <c r="A59" s="130">
        <v>41034000</v>
      </c>
      <c r="B59" s="113" t="s">
        <v>215</v>
      </c>
      <c r="C59" s="87">
        <v>11000</v>
      </c>
      <c r="D59" s="87"/>
      <c r="E59" s="87"/>
      <c r="F59" s="115">
        <f t="shared" si="0"/>
        <v>11000</v>
      </c>
    </row>
    <row r="60" spans="1:6" ht="40.5">
      <c r="A60" s="130">
        <v>41034500</v>
      </c>
      <c r="B60" s="113" t="s">
        <v>222</v>
      </c>
      <c r="C60" s="87">
        <v>340</v>
      </c>
      <c r="D60" s="87"/>
      <c r="E60" s="87"/>
      <c r="F60" s="115">
        <f t="shared" si="0"/>
        <v>340</v>
      </c>
    </row>
    <row r="61" spans="1:6" ht="40.5">
      <c r="A61" s="130" t="s">
        <v>244</v>
      </c>
      <c r="B61" s="141" t="s">
        <v>245</v>
      </c>
      <c r="C61" s="87"/>
      <c r="D61" s="87">
        <v>9037.8</v>
      </c>
      <c r="E61" s="87"/>
      <c r="F61" s="115">
        <f t="shared" si="0"/>
        <v>9037.8</v>
      </c>
    </row>
    <row r="62" spans="1:6" ht="81">
      <c r="A62" s="147" t="s">
        <v>327</v>
      </c>
      <c r="B62" s="113" t="s">
        <v>328</v>
      </c>
      <c r="C62" s="149">
        <v>33441</v>
      </c>
      <c r="D62" s="149"/>
      <c r="E62" s="149"/>
      <c r="F62" s="115">
        <f t="shared" si="0"/>
        <v>33441</v>
      </c>
    </row>
    <row r="63" spans="1:6" ht="13.5">
      <c r="A63" s="147" t="s">
        <v>329</v>
      </c>
      <c r="B63" s="113" t="s">
        <v>321</v>
      </c>
      <c r="C63" s="149">
        <v>2703.7</v>
      </c>
      <c r="D63" s="149"/>
      <c r="E63" s="149"/>
      <c r="F63" s="115">
        <f t="shared" si="0"/>
        <v>2703.7</v>
      </c>
    </row>
    <row r="64" spans="1:6" ht="29.25" customHeight="1" thickBot="1">
      <c r="A64" s="142">
        <v>43010000</v>
      </c>
      <c r="B64" s="239" t="s">
        <v>194</v>
      </c>
      <c r="C64" s="126" t="s">
        <v>165</v>
      </c>
      <c r="D64" s="126">
        <f>60032.7+900+30+1650+119</f>
        <v>62731.7</v>
      </c>
      <c r="E64" s="126">
        <f>60032.7+900+30+1650+119</f>
        <v>62731.7</v>
      </c>
      <c r="F64" s="127">
        <f>D64</f>
        <v>62731.7</v>
      </c>
    </row>
    <row r="65" spans="1:6" s="94" customFormat="1" ht="13.5" thickBot="1">
      <c r="A65" s="281" t="s">
        <v>195</v>
      </c>
      <c r="B65" s="282"/>
      <c r="C65" s="145">
        <f>C45+C47</f>
        <v>1068529.1</v>
      </c>
      <c r="D65" s="145">
        <f>D45+D47</f>
        <v>160890.3</v>
      </c>
      <c r="E65" s="145">
        <f>E47+E45</f>
        <v>64138.2</v>
      </c>
      <c r="F65" s="146">
        <f>C65+D65</f>
        <v>1229419.4000000001</v>
      </c>
    </row>
    <row r="67" spans="3:6" ht="11.25">
      <c r="C67" s="107"/>
      <c r="D67" s="107"/>
      <c r="E67" s="108"/>
      <c r="F67" s="108"/>
    </row>
  </sheetData>
  <mergeCells count="10">
    <mergeCell ref="D1:F1"/>
    <mergeCell ref="D2:F2"/>
    <mergeCell ref="D3:F3"/>
    <mergeCell ref="A65:B65"/>
    <mergeCell ref="A45:B45"/>
    <mergeCell ref="E4:F4"/>
    <mergeCell ref="A10:A11"/>
    <mergeCell ref="B10:B11"/>
    <mergeCell ref="C10:C11"/>
    <mergeCell ref="F10:F11"/>
  </mergeCells>
  <printOptions/>
  <pageMargins left="0.5905511811023623" right="0.5905511811023623" top="0.3937007874015748" bottom="0.21" header="0.1968503937007874" footer="0.11811023622047245"/>
  <pageSetup horizontalDpi="600" verticalDpi="600" orientation="portrait" paperSize="9" scale="90" r:id="rId1"/>
  <rowBreaks count="1" manualBreakCount="1">
    <brk id="48" max="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73"/>
  <sheetViews>
    <sheetView view="pageBreakPreview" zoomScale="75" zoomScaleNormal="65" zoomScaleSheetLayoutView="75" workbookViewId="0" topLeftCell="A54">
      <selection activeCell="F60" sqref="F60"/>
    </sheetView>
  </sheetViews>
  <sheetFormatPr defaultColWidth="9.00390625" defaultRowHeight="12.75"/>
  <cols>
    <col min="1" max="1" width="8.125" style="132" customWidth="1"/>
    <col min="2" max="2" width="34.375" style="2" customWidth="1"/>
    <col min="3" max="3" width="10.125" style="3" customWidth="1"/>
    <col min="4" max="4" width="8.375" style="3" customWidth="1"/>
    <col min="5" max="5" width="7.25390625" style="3" customWidth="1"/>
    <col min="6" max="6" width="9.625" style="159" customWidth="1"/>
    <col min="7" max="7" width="8.00390625" style="3" customWidth="1"/>
    <col min="8" max="8" width="8.875" style="3" customWidth="1"/>
    <col min="9" max="9" width="8.625" style="3" customWidth="1"/>
    <col min="10" max="10" width="6.125" style="3" customWidth="1"/>
    <col min="11" max="11" width="9.875" style="3" customWidth="1"/>
    <col min="12" max="12" width="10.75390625" style="3" customWidth="1"/>
    <col min="13" max="16384" width="8.875" style="3" customWidth="1"/>
  </cols>
  <sheetData>
    <row r="1" spans="8:10" ht="12" customHeight="1">
      <c r="H1" s="304" t="s">
        <v>0</v>
      </c>
      <c r="I1" s="304"/>
      <c r="J1" s="304"/>
    </row>
    <row r="2" spans="8:10" ht="16.5" customHeight="1">
      <c r="H2" s="5" t="s">
        <v>1</v>
      </c>
      <c r="I2" s="5"/>
      <c r="J2" s="5"/>
    </row>
    <row r="3" spans="8:11" ht="13.5">
      <c r="H3" s="324" t="s">
        <v>304</v>
      </c>
      <c r="I3" s="324"/>
      <c r="J3" s="324"/>
      <c r="K3" s="324"/>
    </row>
    <row r="5" spans="2:8" ht="13.5" customHeight="1">
      <c r="B5" s="1"/>
      <c r="C5" s="7"/>
      <c r="D5" s="7"/>
      <c r="E5" s="7"/>
      <c r="F5" s="160"/>
      <c r="G5" s="7"/>
      <c r="H5" s="7"/>
    </row>
    <row r="6" spans="1:11" ht="15">
      <c r="A6" s="305" t="s">
        <v>200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2" ht="15" customHeight="1">
      <c r="A7" s="305" t="s">
        <v>2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8"/>
    </row>
    <row r="8" spans="6:12" ht="14.25" thickBot="1">
      <c r="F8" s="161"/>
      <c r="G8" s="9"/>
      <c r="I8" s="10"/>
      <c r="J8" s="11" t="s">
        <v>3</v>
      </c>
      <c r="K8" s="3" t="s">
        <v>202</v>
      </c>
      <c r="L8" s="8"/>
    </row>
    <row r="9" spans="1:12" ht="25.5" customHeight="1" thickBot="1">
      <c r="A9" s="306" t="s">
        <v>4</v>
      </c>
      <c r="B9" s="309" t="s">
        <v>5</v>
      </c>
      <c r="C9" s="311" t="s">
        <v>6</v>
      </c>
      <c r="D9" s="312"/>
      <c r="E9" s="312"/>
      <c r="F9" s="312"/>
      <c r="G9" s="313"/>
      <c r="H9" s="314" t="s">
        <v>7</v>
      </c>
      <c r="I9" s="315"/>
      <c r="J9" s="316"/>
      <c r="K9" s="309" t="s">
        <v>8</v>
      </c>
      <c r="L9" s="12"/>
    </row>
    <row r="10" spans="1:12" ht="24" customHeight="1" thickBot="1">
      <c r="A10" s="307"/>
      <c r="B10" s="310"/>
      <c r="C10" s="318" t="s">
        <v>9</v>
      </c>
      <c r="D10" s="318" t="s">
        <v>10</v>
      </c>
      <c r="E10" s="320"/>
      <c r="F10" s="320"/>
      <c r="G10" s="321"/>
      <c r="H10" s="319" t="s">
        <v>9</v>
      </c>
      <c r="I10" s="13" t="s">
        <v>11</v>
      </c>
      <c r="J10" s="322" t="s">
        <v>12</v>
      </c>
      <c r="K10" s="310"/>
      <c r="L10" s="12"/>
    </row>
    <row r="11" spans="1:12" ht="98.25" customHeight="1" thickBot="1">
      <c r="A11" s="308"/>
      <c r="B11" s="310"/>
      <c r="C11" s="319"/>
      <c r="D11" s="14" t="s">
        <v>13</v>
      </c>
      <c r="E11" s="15" t="s">
        <v>14</v>
      </c>
      <c r="F11" s="162" t="s">
        <v>15</v>
      </c>
      <c r="G11" s="15" t="s">
        <v>16</v>
      </c>
      <c r="H11" s="319"/>
      <c r="I11" s="15" t="s">
        <v>17</v>
      </c>
      <c r="J11" s="323"/>
      <c r="K11" s="317"/>
      <c r="L11" s="12"/>
    </row>
    <row r="12" spans="1:12" ht="14.25" thickBot="1">
      <c r="A12" s="133">
        <v>1</v>
      </c>
      <c r="B12" s="16">
        <v>2</v>
      </c>
      <c r="C12" s="17">
        <v>3</v>
      </c>
      <c r="D12" s="17">
        <v>4</v>
      </c>
      <c r="E12" s="17">
        <v>5</v>
      </c>
      <c r="F12" s="163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8"/>
    </row>
    <row r="13" spans="1:12" s="19" customFormat="1" ht="15.75" customHeight="1">
      <c r="A13" s="176" t="s">
        <v>18</v>
      </c>
      <c r="B13" s="99" t="s">
        <v>19</v>
      </c>
      <c r="C13" s="76">
        <f>C14</f>
        <v>3768.8</v>
      </c>
      <c r="D13" s="76">
        <f aca="true" t="shared" si="0" ref="D13:J13">D14</f>
        <v>539.7</v>
      </c>
      <c r="E13" s="76">
        <f t="shared" si="0"/>
        <v>991.6</v>
      </c>
      <c r="F13" s="164">
        <f>3768.8-D13-E13</f>
        <v>2237.5000000000005</v>
      </c>
      <c r="G13" s="76">
        <f t="shared" si="0"/>
        <v>0</v>
      </c>
      <c r="H13" s="76">
        <f t="shared" si="0"/>
        <v>0</v>
      </c>
      <c r="I13" s="76">
        <f t="shared" si="0"/>
        <v>0</v>
      </c>
      <c r="J13" s="76">
        <f t="shared" si="0"/>
        <v>0</v>
      </c>
      <c r="K13" s="177">
        <f>C13+H13</f>
        <v>3768.8</v>
      </c>
      <c r="L13" s="18"/>
    </row>
    <row r="14" spans="1:13" ht="13.5">
      <c r="A14" s="178" t="s">
        <v>20</v>
      </c>
      <c r="B14" s="20" t="s">
        <v>21</v>
      </c>
      <c r="C14" s="75">
        <f>D14+E14+F14+G14</f>
        <v>3768.8</v>
      </c>
      <c r="D14" s="75">
        <v>539.7</v>
      </c>
      <c r="E14" s="75">
        <v>991.6</v>
      </c>
      <c r="F14" s="165">
        <v>2237.5</v>
      </c>
      <c r="G14" s="75"/>
      <c r="H14" s="75"/>
      <c r="I14" s="75"/>
      <c r="J14" s="75"/>
      <c r="K14" s="179">
        <f aca="true" t="shared" si="1" ref="K14:K83">C14+H14</f>
        <v>3768.8</v>
      </c>
      <c r="L14" s="8"/>
      <c r="M14" s="21"/>
    </row>
    <row r="15" spans="1:13" ht="30" customHeight="1">
      <c r="A15" s="180" t="s">
        <v>22</v>
      </c>
      <c r="B15" s="26" t="s">
        <v>23</v>
      </c>
      <c r="C15" s="76">
        <f>C16</f>
        <v>4683.1</v>
      </c>
      <c r="D15" s="76">
        <f aca="true" t="shared" si="2" ref="D15:I15">D16</f>
        <v>0</v>
      </c>
      <c r="E15" s="76">
        <f t="shared" si="2"/>
        <v>0</v>
      </c>
      <c r="F15" s="164">
        <f t="shared" si="2"/>
        <v>4100</v>
      </c>
      <c r="G15" s="76">
        <f t="shared" si="2"/>
        <v>583.1</v>
      </c>
      <c r="H15" s="76">
        <f t="shared" si="2"/>
        <v>0</v>
      </c>
      <c r="I15" s="76">
        <f t="shared" si="2"/>
        <v>0</v>
      </c>
      <c r="J15" s="76"/>
      <c r="K15" s="177">
        <f t="shared" si="1"/>
        <v>4683.1</v>
      </c>
      <c r="L15" s="8"/>
      <c r="M15" s="21"/>
    </row>
    <row r="16" spans="1:13" ht="30" customHeight="1">
      <c r="A16" s="178" t="s">
        <v>24</v>
      </c>
      <c r="B16" s="96" t="s">
        <v>25</v>
      </c>
      <c r="C16" s="75">
        <f>D16+E16+F16+G16</f>
        <v>4683.1</v>
      </c>
      <c r="D16" s="75"/>
      <c r="E16" s="75"/>
      <c r="F16" s="165">
        <f>4200-900+800</f>
        <v>4100</v>
      </c>
      <c r="G16" s="75">
        <f>590.1-7</f>
        <v>583.1</v>
      </c>
      <c r="H16" s="75"/>
      <c r="I16" s="75"/>
      <c r="J16" s="75"/>
      <c r="K16" s="179">
        <f t="shared" si="1"/>
        <v>4683.1</v>
      </c>
      <c r="L16" s="8"/>
      <c r="M16" s="21"/>
    </row>
    <row r="17" spans="1:12" s="21" customFormat="1" ht="12.75">
      <c r="A17" s="180" t="s">
        <v>26</v>
      </c>
      <c r="B17" s="100" t="s">
        <v>27</v>
      </c>
      <c r="C17" s="76">
        <f>D17+E17+F17+G17</f>
        <v>101515.1</v>
      </c>
      <c r="D17" s="76">
        <v>41584.4</v>
      </c>
      <c r="E17" s="76">
        <v>9610</v>
      </c>
      <c r="F17" s="164">
        <f>43696.4+250+14.9+1600</f>
        <v>45561.3</v>
      </c>
      <c r="G17" s="76">
        <f>4713.4+46</f>
        <v>4759.4</v>
      </c>
      <c r="H17" s="76">
        <f>2903.6+266.6+891.8+197+64.8</f>
        <v>4323.8</v>
      </c>
      <c r="I17" s="76"/>
      <c r="J17" s="76"/>
      <c r="K17" s="177">
        <f t="shared" si="1"/>
        <v>105838.90000000001</v>
      </c>
      <c r="L17" s="23"/>
    </row>
    <row r="18" spans="1:12" s="21" customFormat="1" ht="12.75">
      <c r="A18" s="180" t="s">
        <v>28</v>
      </c>
      <c r="B18" s="100" t="s">
        <v>29</v>
      </c>
      <c r="C18" s="76">
        <f>D18+E18+F18+G18</f>
        <v>218901.9</v>
      </c>
      <c r="D18" s="76">
        <v>87906.8</v>
      </c>
      <c r="E18" s="76">
        <v>17357.2</v>
      </c>
      <c r="F18" s="164">
        <f>101629.8+1000+150+1200</f>
        <v>103979.8</v>
      </c>
      <c r="G18" s="76">
        <f>9687.9-37+7.2</f>
        <v>9658.1</v>
      </c>
      <c r="H18" s="76">
        <f>8103+10000-10000</f>
        <v>8103</v>
      </c>
      <c r="I18" s="76">
        <f>10000-10000</f>
        <v>0</v>
      </c>
      <c r="J18" s="76"/>
      <c r="K18" s="177">
        <f t="shared" si="1"/>
        <v>227004.9</v>
      </c>
      <c r="L18" s="23"/>
    </row>
    <row r="19" spans="1:12" s="21" customFormat="1" ht="27" customHeight="1">
      <c r="A19" s="180" t="s">
        <v>30</v>
      </c>
      <c r="B19" s="100" t="s">
        <v>31</v>
      </c>
      <c r="C19" s="76">
        <f>C20+C21+C22+C23+C24+C25+C26+C27+C28+C29+C30+C31+C32+C33+C34+C35+C36+C37+C38</f>
        <v>156076.7</v>
      </c>
      <c r="D19" s="76">
        <f aca="true" t="shared" si="3" ref="D19:I19">D20+D21+D22+D23+D24+D25+D26+D27+D28+D29+D30+D31+D32+D33+D34+D35+D36+D37+D38</f>
        <v>15730.7</v>
      </c>
      <c r="E19" s="76">
        <f t="shared" si="3"/>
        <v>5240</v>
      </c>
      <c r="F19" s="76">
        <f t="shared" si="3"/>
        <v>135101.10000000003</v>
      </c>
      <c r="G19" s="76">
        <f t="shared" si="3"/>
        <v>4.9</v>
      </c>
      <c r="H19" s="76">
        <f t="shared" si="3"/>
        <v>6757.1</v>
      </c>
      <c r="I19" s="76">
        <f t="shared" si="3"/>
        <v>0</v>
      </c>
      <c r="J19" s="76"/>
      <c r="K19" s="177">
        <f t="shared" si="1"/>
        <v>162833.80000000002</v>
      </c>
      <c r="L19" s="23"/>
    </row>
    <row r="20" spans="1:13" ht="27">
      <c r="A20" s="178" t="s">
        <v>32</v>
      </c>
      <c r="B20" s="20" t="s">
        <v>33</v>
      </c>
      <c r="C20" s="75">
        <f>D20+E20+F20</f>
        <v>9.6</v>
      </c>
      <c r="D20" s="75"/>
      <c r="E20" s="75"/>
      <c r="F20" s="165">
        <v>9.6</v>
      </c>
      <c r="G20" s="75"/>
      <c r="H20" s="75"/>
      <c r="I20" s="75"/>
      <c r="J20" s="75"/>
      <c r="K20" s="179">
        <f t="shared" si="1"/>
        <v>9.6</v>
      </c>
      <c r="L20" s="8"/>
      <c r="M20" s="21"/>
    </row>
    <row r="21" spans="1:13" ht="27">
      <c r="A21" s="178" t="s">
        <v>281</v>
      </c>
      <c r="B21" s="20" t="s">
        <v>282</v>
      </c>
      <c r="C21" s="75">
        <f>D21+E21+F21</f>
        <v>103623</v>
      </c>
      <c r="D21" s="75"/>
      <c r="E21" s="75"/>
      <c r="F21" s="165">
        <v>103623</v>
      </c>
      <c r="G21" s="75"/>
      <c r="H21" s="75"/>
      <c r="I21" s="75"/>
      <c r="J21" s="75"/>
      <c r="K21" s="179">
        <f t="shared" si="1"/>
        <v>103623</v>
      </c>
      <c r="L21" s="8"/>
      <c r="M21" s="21"/>
    </row>
    <row r="22" spans="1:13" ht="25.5" customHeight="1">
      <c r="A22" s="178" t="s">
        <v>34</v>
      </c>
      <c r="B22" s="20" t="s">
        <v>35</v>
      </c>
      <c r="C22" s="75">
        <f>D22+E22+F22+G22</f>
        <v>814.9</v>
      </c>
      <c r="D22" s="75"/>
      <c r="E22" s="75"/>
      <c r="F22" s="165">
        <f>27+50+720+13</f>
        <v>810</v>
      </c>
      <c r="G22" s="75">
        <v>4.9</v>
      </c>
      <c r="H22" s="75">
        <v>205</v>
      </c>
      <c r="I22" s="75"/>
      <c r="J22" s="75"/>
      <c r="K22" s="179">
        <f t="shared" si="1"/>
        <v>1019.9</v>
      </c>
      <c r="L22" s="8"/>
      <c r="M22" s="21"/>
    </row>
    <row r="23" spans="1:13" ht="42.75" customHeight="1">
      <c r="A23" s="178" t="s">
        <v>36</v>
      </c>
      <c r="B23" s="20" t="s">
        <v>37</v>
      </c>
      <c r="C23" s="75">
        <f aca="true" t="shared" si="4" ref="C23:C38">D23+E23+F23</f>
        <v>1012.4000000000001</v>
      </c>
      <c r="D23" s="75"/>
      <c r="E23" s="75"/>
      <c r="F23" s="165">
        <f>518.7+493.7</f>
        <v>1012.4000000000001</v>
      </c>
      <c r="G23" s="75"/>
      <c r="H23" s="75"/>
      <c r="I23" s="75"/>
      <c r="J23" s="75"/>
      <c r="K23" s="179">
        <f t="shared" si="1"/>
        <v>1012.4000000000001</v>
      </c>
      <c r="L23" s="8"/>
      <c r="M23" s="21"/>
    </row>
    <row r="24" spans="1:13" ht="27">
      <c r="A24" s="178" t="s">
        <v>283</v>
      </c>
      <c r="B24" s="20" t="s">
        <v>284</v>
      </c>
      <c r="C24" s="75">
        <f t="shared" si="4"/>
        <v>7624.2</v>
      </c>
      <c r="D24" s="75">
        <v>2746.1</v>
      </c>
      <c r="E24" s="75">
        <v>657.8</v>
      </c>
      <c r="F24" s="165">
        <v>4220.3</v>
      </c>
      <c r="G24" s="75"/>
      <c r="H24" s="75">
        <v>435.4</v>
      </c>
      <c r="I24" s="75"/>
      <c r="J24" s="75"/>
      <c r="K24" s="179">
        <f t="shared" si="1"/>
        <v>8059.599999999999</v>
      </c>
      <c r="L24" s="8"/>
      <c r="M24" s="21"/>
    </row>
    <row r="25" spans="1:13" ht="13.5">
      <c r="A25" s="178" t="s">
        <v>42</v>
      </c>
      <c r="B25" s="20" t="s">
        <v>43</v>
      </c>
      <c r="C25" s="75">
        <f>D25+E25+F25</f>
        <v>6148.7</v>
      </c>
      <c r="D25" s="75">
        <v>2096.7</v>
      </c>
      <c r="E25" s="75">
        <v>669</v>
      </c>
      <c r="F25" s="165">
        <v>3383</v>
      </c>
      <c r="G25" s="75"/>
      <c r="H25" s="75">
        <v>13.2</v>
      </c>
      <c r="I25" s="75"/>
      <c r="J25" s="75"/>
      <c r="K25" s="179">
        <f>C25+H25</f>
        <v>6161.9</v>
      </c>
      <c r="L25" s="8"/>
      <c r="M25" s="21"/>
    </row>
    <row r="26" spans="1:13" ht="40.5">
      <c r="A26" s="178" t="s">
        <v>285</v>
      </c>
      <c r="B26" s="20" t="s">
        <v>286</v>
      </c>
      <c r="C26" s="75">
        <f>D26+E26+F26</f>
        <v>32834.399999999994</v>
      </c>
      <c r="D26" s="75">
        <v>9812.9</v>
      </c>
      <c r="E26" s="75">
        <v>3796.7</v>
      </c>
      <c r="F26" s="165">
        <v>19224.8</v>
      </c>
      <c r="G26" s="75"/>
      <c r="H26" s="75">
        <v>5906.5</v>
      </c>
      <c r="I26" s="75"/>
      <c r="J26" s="75"/>
      <c r="K26" s="179">
        <f>C26+H26</f>
        <v>38740.899999999994</v>
      </c>
      <c r="L26" s="8"/>
      <c r="M26" s="21"/>
    </row>
    <row r="27" spans="1:13" ht="27">
      <c r="A27" s="178" t="s">
        <v>261</v>
      </c>
      <c r="B27" s="20" t="s">
        <v>262</v>
      </c>
      <c r="C27" s="75">
        <f t="shared" si="4"/>
        <v>281.9</v>
      </c>
      <c r="D27" s="75">
        <v>155.7</v>
      </c>
      <c r="E27" s="75">
        <v>11</v>
      </c>
      <c r="F27" s="165">
        <v>115.2</v>
      </c>
      <c r="G27" s="75"/>
      <c r="H27" s="75"/>
      <c r="I27" s="75"/>
      <c r="J27" s="75"/>
      <c r="K27" s="179">
        <f t="shared" si="1"/>
        <v>281.9</v>
      </c>
      <c r="L27" s="8"/>
      <c r="M27" s="21"/>
    </row>
    <row r="28" spans="1:13" ht="27">
      <c r="A28" s="178" t="s">
        <v>263</v>
      </c>
      <c r="B28" s="20" t="s">
        <v>287</v>
      </c>
      <c r="C28" s="75">
        <f t="shared" si="4"/>
        <v>152.7</v>
      </c>
      <c r="D28" s="75"/>
      <c r="E28" s="75"/>
      <c r="F28" s="165">
        <v>152.7</v>
      </c>
      <c r="G28" s="75"/>
      <c r="H28" s="75"/>
      <c r="I28" s="75"/>
      <c r="J28" s="75"/>
      <c r="K28" s="179">
        <f t="shared" si="1"/>
        <v>152.7</v>
      </c>
      <c r="L28" s="8"/>
      <c r="M28" s="21"/>
    </row>
    <row r="29" spans="1:13" ht="40.5">
      <c r="A29" s="178" t="s">
        <v>264</v>
      </c>
      <c r="B29" s="20" t="s">
        <v>288</v>
      </c>
      <c r="C29" s="75">
        <f t="shared" si="4"/>
        <v>374.1</v>
      </c>
      <c r="D29" s="75"/>
      <c r="E29" s="75"/>
      <c r="F29" s="165">
        <v>374.1</v>
      </c>
      <c r="G29" s="75"/>
      <c r="H29" s="75"/>
      <c r="I29" s="75"/>
      <c r="J29" s="75"/>
      <c r="K29" s="179">
        <f t="shared" si="1"/>
        <v>374.1</v>
      </c>
      <c r="L29" s="8"/>
      <c r="M29" s="21"/>
    </row>
    <row r="30" spans="1:13" ht="40.5">
      <c r="A30" s="178" t="s">
        <v>265</v>
      </c>
      <c r="B30" s="20" t="s">
        <v>289</v>
      </c>
      <c r="C30" s="75">
        <f t="shared" si="4"/>
        <v>30</v>
      </c>
      <c r="D30" s="75"/>
      <c r="E30" s="75"/>
      <c r="F30" s="165">
        <v>30</v>
      </c>
      <c r="G30" s="75"/>
      <c r="H30" s="75"/>
      <c r="I30" s="75"/>
      <c r="J30" s="75"/>
      <c r="K30" s="179">
        <f t="shared" si="1"/>
        <v>30</v>
      </c>
      <c r="L30" s="8"/>
      <c r="M30" s="21"/>
    </row>
    <row r="31" spans="1:13" ht="27">
      <c r="A31" s="178" t="s">
        <v>267</v>
      </c>
      <c r="B31" s="20" t="s">
        <v>268</v>
      </c>
      <c r="C31" s="75">
        <f t="shared" si="4"/>
        <v>420.9</v>
      </c>
      <c r="D31" s="75">
        <v>105.2</v>
      </c>
      <c r="E31" s="75">
        <f>14+2</f>
        <v>16</v>
      </c>
      <c r="F31" s="165">
        <f>301.7-2</f>
        <v>299.7</v>
      </c>
      <c r="G31" s="75"/>
      <c r="H31" s="75"/>
      <c r="I31" s="75"/>
      <c r="J31" s="75"/>
      <c r="K31" s="179">
        <f t="shared" si="1"/>
        <v>420.9</v>
      </c>
      <c r="L31" s="8"/>
      <c r="M31" s="21"/>
    </row>
    <row r="32" spans="1:13" ht="13.5">
      <c r="A32" s="178" t="s">
        <v>269</v>
      </c>
      <c r="B32" s="20" t="s">
        <v>270</v>
      </c>
      <c r="C32" s="75">
        <f t="shared" si="4"/>
        <v>150</v>
      </c>
      <c r="D32" s="75">
        <v>38.1</v>
      </c>
      <c r="E32" s="75">
        <v>21.1</v>
      </c>
      <c r="F32" s="165">
        <f>150-59.2</f>
        <v>90.8</v>
      </c>
      <c r="G32" s="75"/>
      <c r="H32" s="75"/>
      <c r="I32" s="75"/>
      <c r="J32" s="75"/>
      <c r="K32" s="179">
        <f t="shared" si="1"/>
        <v>150</v>
      </c>
      <c r="L32" s="8"/>
      <c r="M32" s="21"/>
    </row>
    <row r="33" spans="1:13" ht="40.5">
      <c r="A33" s="178" t="s">
        <v>271</v>
      </c>
      <c r="B33" s="20" t="s">
        <v>272</v>
      </c>
      <c r="C33" s="75">
        <f t="shared" si="4"/>
        <v>40</v>
      </c>
      <c r="D33" s="75"/>
      <c r="E33" s="75"/>
      <c r="F33" s="165">
        <v>40</v>
      </c>
      <c r="G33" s="75"/>
      <c r="H33" s="75"/>
      <c r="I33" s="75"/>
      <c r="J33" s="75"/>
      <c r="K33" s="179">
        <f t="shared" si="1"/>
        <v>40</v>
      </c>
      <c r="L33" s="8"/>
      <c r="M33" s="21"/>
    </row>
    <row r="34" spans="1:13" ht="91.5" customHeight="1">
      <c r="A34" s="178" t="s">
        <v>38</v>
      </c>
      <c r="B34" s="20" t="s">
        <v>211</v>
      </c>
      <c r="C34" s="75">
        <f>D34+E34+F34</f>
        <v>500</v>
      </c>
      <c r="D34" s="75"/>
      <c r="E34" s="75"/>
      <c r="F34" s="165">
        <v>500</v>
      </c>
      <c r="G34" s="75"/>
      <c r="H34" s="75"/>
      <c r="I34" s="75"/>
      <c r="J34" s="75"/>
      <c r="K34" s="179">
        <f>C34+H34</f>
        <v>500</v>
      </c>
      <c r="L34" s="8"/>
      <c r="M34" s="21"/>
    </row>
    <row r="35" spans="1:13" ht="27">
      <c r="A35" s="178" t="s">
        <v>39</v>
      </c>
      <c r="B35" s="20" t="s">
        <v>40</v>
      </c>
      <c r="C35" s="75">
        <f>D35+E35+F35</f>
        <v>50.1</v>
      </c>
      <c r="D35" s="75"/>
      <c r="E35" s="75"/>
      <c r="F35" s="165">
        <v>50.1</v>
      </c>
      <c r="G35" s="75"/>
      <c r="H35" s="75"/>
      <c r="I35" s="75"/>
      <c r="J35" s="75"/>
      <c r="K35" s="179">
        <f>C35+H35</f>
        <v>50.1</v>
      </c>
      <c r="L35" s="8"/>
      <c r="M35" s="21"/>
    </row>
    <row r="36" spans="1:13" ht="40.5">
      <c r="A36" s="178" t="s">
        <v>290</v>
      </c>
      <c r="B36" s="20" t="s">
        <v>291</v>
      </c>
      <c r="C36" s="75">
        <f>D36+E36+F36</f>
        <v>12.1</v>
      </c>
      <c r="D36" s="75">
        <v>8.6</v>
      </c>
      <c r="E36" s="75"/>
      <c r="F36" s="165">
        <v>3.5</v>
      </c>
      <c r="G36" s="75"/>
      <c r="H36" s="75"/>
      <c r="I36" s="75"/>
      <c r="J36" s="75"/>
      <c r="K36" s="179">
        <f>C36+H36</f>
        <v>12.1</v>
      </c>
      <c r="L36" s="8"/>
      <c r="M36" s="21"/>
    </row>
    <row r="37" spans="1:13" ht="13.5">
      <c r="A37" s="178" t="s">
        <v>273</v>
      </c>
      <c r="B37" s="20" t="s">
        <v>274</v>
      </c>
      <c r="C37" s="75">
        <f t="shared" si="4"/>
        <v>25.5</v>
      </c>
      <c r="D37" s="75">
        <v>16.6</v>
      </c>
      <c r="E37" s="75"/>
      <c r="F37" s="165">
        <v>8.9</v>
      </c>
      <c r="G37" s="75"/>
      <c r="H37" s="75"/>
      <c r="I37" s="75"/>
      <c r="J37" s="75"/>
      <c r="K37" s="179">
        <f t="shared" si="1"/>
        <v>25.5</v>
      </c>
      <c r="L37" s="8"/>
      <c r="M37" s="21"/>
    </row>
    <row r="38" spans="1:13" ht="27.75" customHeight="1">
      <c r="A38" s="178" t="s">
        <v>41</v>
      </c>
      <c r="B38" s="24" t="s">
        <v>293</v>
      </c>
      <c r="C38" s="75">
        <f t="shared" si="4"/>
        <v>1972.1999999999998</v>
      </c>
      <c r="D38" s="75">
        <v>750.8</v>
      </c>
      <c r="E38" s="75">
        <v>68.4</v>
      </c>
      <c r="F38" s="165">
        <v>1153</v>
      </c>
      <c r="G38" s="75"/>
      <c r="H38" s="75">
        <v>197</v>
      </c>
      <c r="I38" s="75"/>
      <c r="J38" s="75"/>
      <c r="K38" s="179">
        <f t="shared" si="1"/>
        <v>2169.2</v>
      </c>
      <c r="L38" s="8"/>
      <c r="M38" s="21"/>
    </row>
    <row r="39" spans="1:12" s="21" customFormat="1" ht="12.75">
      <c r="A39" s="180">
        <v>100000</v>
      </c>
      <c r="B39" s="26" t="s">
        <v>44</v>
      </c>
      <c r="C39" s="76">
        <f>D39+E39+F39+G39</f>
        <v>18772.2</v>
      </c>
      <c r="D39" s="76"/>
      <c r="E39" s="76"/>
      <c r="F39" s="164">
        <f>10000+1000</f>
        <v>11000</v>
      </c>
      <c r="G39" s="76">
        <f>8537.5-765.3</f>
        <v>7772.2</v>
      </c>
      <c r="H39" s="76"/>
      <c r="I39" s="76"/>
      <c r="J39" s="76"/>
      <c r="K39" s="177">
        <f t="shared" si="1"/>
        <v>18772.2</v>
      </c>
      <c r="L39" s="23"/>
    </row>
    <row r="40" spans="1:12" s="21" customFormat="1" ht="15" customHeight="1">
      <c r="A40" s="129">
        <v>110000</v>
      </c>
      <c r="B40" s="26" t="s">
        <v>253</v>
      </c>
      <c r="C40" s="76">
        <f>D40+E40+F40+G40</f>
        <v>30030</v>
      </c>
      <c r="D40" s="77">
        <v>1703.5</v>
      </c>
      <c r="E40" s="77">
        <v>418.2</v>
      </c>
      <c r="F40" s="166">
        <v>25352.3</v>
      </c>
      <c r="G40" s="77">
        <f>G41+G42+G43</f>
        <v>2556</v>
      </c>
      <c r="H40" s="77">
        <v>465</v>
      </c>
      <c r="I40" s="77"/>
      <c r="J40" s="77"/>
      <c r="K40" s="181">
        <f t="shared" si="1"/>
        <v>30495</v>
      </c>
      <c r="L40" s="23"/>
    </row>
    <row r="41" spans="1:13" ht="15" customHeight="1">
      <c r="A41" s="182" t="s">
        <v>249</v>
      </c>
      <c r="B41" s="20" t="s">
        <v>251</v>
      </c>
      <c r="C41" s="30">
        <f>D41+E41+F41+G41</f>
        <v>16916.9</v>
      </c>
      <c r="D41" s="30"/>
      <c r="E41" s="30"/>
      <c r="F41" s="167">
        <v>14416.9</v>
      </c>
      <c r="G41" s="30">
        <f>2000+500</f>
        <v>2500</v>
      </c>
      <c r="H41" s="30"/>
      <c r="I41" s="30"/>
      <c r="J41" s="30"/>
      <c r="K41" s="183">
        <f t="shared" si="1"/>
        <v>16916.9</v>
      </c>
      <c r="L41" s="8"/>
      <c r="M41" s="21"/>
    </row>
    <row r="42" spans="1:13" ht="40.5">
      <c r="A42" s="182" t="s">
        <v>250</v>
      </c>
      <c r="B42" s="20" t="s">
        <v>252</v>
      </c>
      <c r="C42" s="30">
        <f>D42+E42+F42+G42</f>
        <v>6792</v>
      </c>
      <c r="D42" s="30"/>
      <c r="E42" s="30"/>
      <c r="F42" s="167">
        <v>6736</v>
      </c>
      <c r="G42" s="30">
        <v>56</v>
      </c>
      <c r="H42" s="30"/>
      <c r="I42" s="30"/>
      <c r="J42" s="30"/>
      <c r="K42" s="183">
        <f t="shared" si="1"/>
        <v>6792</v>
      </c>
      <c r="L42" s="8"/>
      <c r="M42" s="21"/>
    </row>
    <row r="43" spans="1:13" ht="13.5">
      <c r="A43" s="182">
        <v>110300</v>
      </c>
      <c r="B43" s="20" t="s">
        <v>45</v>
      </c>
      <c r="C43" s="30">
        <f>D43+E43+F43</f>
        <v>200</v>
      </c>
      <c r="D43" s="30"/>
      <c r="E43" s="30"/>
      <c r="F43" s="167">
        <v>200</v>
      </c>
      <c r="G43" s="30"/>
      <c r="H43" s="30"/>
      <c r="I43" s="30"/>
      <c r="J43" s="30"/>
      <c r="K43" s="183">
        <f t="shared" si="1"/>
        <v>200</v>
      </c>
      <c r="L43" s="8"/>
      <c r="M43" s="21"/>
    </row>
    <row r="44" spans="1:12" s="21" customFormat="1" ht="12.75">
      <c r="A44" s="129">
        <v>120000</v>
      </c>
      <c r="B44" s="106" t="s">
        <v>46</v>
      </c>
      <c r="C44" s="77">
        <f>C45+C46</f>
        <v>5499.3</v>
      </c>
      <c r="D44" s="77">
        <f>D45+D46</f>
        <v>0</v>
      </c>
      <c r="E44" s="77">
        <f>E45+E46</f>
        <v>0</v>
      </c>
      <c r="F44" s="166">
        <f>F45+F46</f>
        <v>4298.3</v>
      </c>
      <c r="G44" s="77">
        <f>G45+G46</f>
        <v>1201</v>
      </c>
      <c r="H44" s="77"/>
      <c r="I44" s="77"/>
      <c r="J44" s="77"/>
      <c r="K44" s="181">
        <f t="shared" si="1"/>
        <v>5499.3</v>
      </c>
      <c r="L44" s="23"/>
    </row>
    <row r="45" spans="1:13" ht="24" customHeight="1">
      <c r="A45" s="182">
        <v>120201</v>
      </c>
      <c r="B45" s="20" t="s">
        <v>47</v>
      </c>
      <c r="C45" s="30">
        <f>D45+E45+F45+G45</f>
        <v>4378</v>
      </c>
      <c r="D45" s="30"/>
      <c r="E45" s="30"/>
      <c r="F45" s="167">
        <f>4200-623-400</f>
        <v>3177</v>
      </c>
      <c r="G45" s="30">
        <v>1201</v>
      </c>
      <c r="H45" s="30"/>
      <c r="I45" s="30"/>
      <c r="J45" s="30"/>
      <c r="K45" s="183">
        <f t="shared" si="1"/>
        <v>4378</v>
      </c>
      <c r="L45" s="8"/>
      <c r="M45" s="21"/>
    </row>
    <row r="46" spans="1:13" ht="15" customHeight="1">
      <c r="A46" s="182">
        <v>120300</v>
      </c>
      <c r="B46" s="20" t="s">
        <v>48</v>
      </c>
      <c r="C46" s="30">
        <f>D46+E46+F46</f>
        <v>1121.3</v>
      </c>
      <c r="D46" s="30"/>
      <c r="E46" s="30"/>
      <c r="F46" s="167">
        <f>498.3+623</f>
        <v>1121.3</v>
      </c>
      <c r="G46" s="30"/>
      <c r="H46" s="30"/>
      <c r="I46" s="30"/>
      <c r="J46" s="30"/>
      <c r="K46" s="183">
        <f t="shared" si="1"/>
        <v>1121.3</v>
      </c>
      <c r="L46" s="8"/>
      <c r="M46" s="21"/>
    </row>
    <row r="47" spans="1:12" s="21" customFormat="1" ht="17.25" customHeight="1">
      <c r="A47" s="129">
        <v>130000</v>
      </c>
      <c r="B47" s="26" t="s">
        <v>49</v>
      </c>
      <c r="C47" s="77">
        <f>D47+E47+F47+G47</f>
        <v>17699.100000000002</v>
      </c>
      <c r="D47" s="77">
        <v>1615.1</v>
      </c>
      <c r="E47" s="77">
        <v>24.8</v>
      </c>
      <c r="F47" s="166">
        <f>14320.2+1700</f>
        <v>16020.2</v>
      </c>
      <c r="G47" s="77">
        <v>39</v>
      </c>
      <c r="H47" s="77"/>
      <c r="I47" s="77"/>
      <c r="J47" s="77"/>
      <c r="K47" s="181">
        <f t="shared" si="1"/>
        <v>17699.100000000002</v>
      </c>
      <c r="L47" s="23"/>
    </row>
    <row r="48" spans="1:12" s="21" customFormat="1" ht="15" customHeight="1">
      <c r="A48" s="129">
        <v>150000</v>
      </c>
      <c r="B48" s="26" t="s">
        <v>50</v>
      </c>
      <c r="C48" s="77">
        <f>C49+C51+C52+C53+C50</f>
        <v>0</v>
      </c>
      <c r="D48" s="77">
        <f>D49+D51+D52+D53+D50</f>
        <v>0</v>
      </c>
      <c r="E48" s="77">
        <f>E49+E51+E52+E53+E50</f>
        <v>0</v>
      </c>
      <c r="F48" s="77">
        <f>F49+F51+F52+F53+F50</f>
        <v>0</v>
      </c>
      <c r="G48" s="77">
        <f>G49+G51+G52+G53+G50</f>
        <v>0</v>
      </c>
      <c r="H48" s="77">
        <f>H49+H51+H52+H53+H50+H54</f>
        <v>64108.2</v>
      </c>
      <c r="I48" s="77">
        <f>I49+I51+I52+I53+I50+I54</f>
        <v>64108.2</v>
      </c>
      <c r="J48" s="77">
        <f>J49</f>
        <v>406.5</v>
      </c>
      <c r="K48" s="181">
        <f>H48+C48</f>
        <v>64108.2</v>
      </c>
      <c r="L48" s="23"/>
    </row>
    <row r="49" spans="1:13" ht="12.75" customHeight="1">
      <c r="A49" s="182">
        <v>150101</v>
      </c>
      <c r="B49" s="20" t="s">
        <v>51</v>
      </c>
      <c r="C49" s="30">
        <f aca="true" t="shared" si="5" ref="C49:C54">D49+E49+F49</f>
        <v>0</v>
      </c>
      <c r="D49" s="30"/>
      <c r="E49" s="30"/>
      <c r="F49" s="167"/>
      <c r="G49" s="30"/>
      <c r="H49" s="30">
        <f>11000+20000+340+6692.7+12000+900+1000-11000-340-6692.7-2000-500+406.5</f>
        <v>31806.5</v>
      </c>
      <c r="I49" s="30">
        <f>H49</f>
        <v>31806.5</v>
      </c>
      <c r="J49" s="30">
        <v>406.5</v>
      </c>
      <c r="K49" s="183">
        <f t="shared" si="1"/>
        <v>31806.5</v>
      </c>
      <c r="L49" s="8"/>
      <c r="M49" s="21"/>
    </row>
    <row r="50" spans="1:13" ht="216.75">
      <c r="A50" s="182" t="s">
        <v>292</v>
      </c>
      <c r="B50" s="113" t="s">
        <v>299</v>
      </c>
      <c r="C50" s="30">
        <f t="shared" si="5"/>
        <v>0</v>
      </c>
      <c r="D50" s="30"/>
      <c r="E50" s="30"/>
      <c r="F50" s="169"/>
      <c r="G50" s="112"/>
      <c r="H50" s="212">
        <f>I50</f>
        <v>6692.7</v>
      </c>
      <c r="I50" s="112">
        <v>6692.7</v>
      </c>
      <c r="J50" s="30"/>
      <c r="K50" s="183">
        <f t="shared" si="1"/>
        <v>6692.7</v>
      </c>
      <c r="L50" s="8"/>
      <c r="M50" s="21"/>
    </row>
    <row r="51" spans="1:13" ht="40.5">
      <c r="A51" s="211" t="s">
        <v>277</v>
      </c>
      <c r="B51" s="141" t="s">
        <v>276</v>
      </c>
      <c r="C51" s="75">
        <f t="shared" si="5"/>
        <v>0</v>
      </c>
      <c r="D51" s="212"/>
      <c r="E51" s="212"/>
      <c r="F51" s="167"/>
      <c r="G51" s="30"/>
      <c r="H51" s="30">
        <f>I51</f>
        <v>2840</v>
      </c>
      <c r="I51" s="167">
        <f>340+2000+500</f>
        <v>2840</v>
      </c>
      <c r="J51" s="212"/>
      <c r="K51" s="179">
        <f t="shared" si="1"/>
        <v>2840</v>
      </c>
      <c r="L51" s="8"/>
      <c r="M51" s="21"/>
    </row>
    <row r="52" spans="1:13" ht="54">
      <c r="A52" s="182" t="s">
        <v>280</v>
      </c>
      <c r="B52" s="113" t="s">
        <v>298</v>
      </c>
      <c r="C52" s="30">
        <f t="shared" si="5"/>
        <v>0</v>
      </c>
      <c r="D52" s="30"/>
      <c r="E52" s="30"/>
      <c r="F52" s="167"/>
      <c r="G52" s="30"/>
      <c r="H52" s="30">
        <f>I52</f>
        <v>10000</v>
      </c>
      <c r="I52" s="167">
        <v>10000</v>
      </c>
      <c r="J52" s="30"/>
      <c r="K52" s="183">
        <f t="shared" si="1"/>
        <v>10000</v>
      </c>
      <c r="L52" s="8"/>
      <c r="M52" s="21"/>
    </row>
    <row r="53" spans="1:13" ht="12.75" customHeight="1">
      <c r="A53" s="182" t="s">
        <v>278</v>
      </c>
      <c r="B53" s="20" t="s">
        <v>279</v>
      </c>
      <c r="C53" s="30">
        <f t="shared" si="5"/>
        <v>0</v>
      </c>
      <c r="D53" s="30"/>
      <c r="E53" s="30"/>
      <c r="F53" s="167"/>
      <c r="G53" s="30"/>
      <c r="H53" s="30">
        <f>I53</f>
        <v>11000</v>
      </c>
      <c r="I53" s="167">
        <v>11000</v>
      </c>
      <c r="J53" s="30"/>
      <c r="K53" s="183">
        <f t="shared" si="1"/>
        <v>11000</v>
      </c>
      <c r="L53" s="8"/>
      <c r="M53" s="21"/>
    </row>
    <row r="54" spans="1:13" ht="12.75" customHeight="1">
      <c r="A54" s="182" t="s">
        <v>332</v>
      </c>
      <c r="B54" s="20" t="s">
        <v>333</v>
      </c>
      <c r="C54" s="30">
        <f t="shared" si="5"/>
        <v>0</v>
      </c>
      <c r="D54" s="30"/>
      <c r="E54" s="30"/>
      <c r="F54" s="167"/>
      <c r="G54" s="30"/>
      <c r="H54" s="30">
        <f>I54</f>
        <v>1769</v>
      </c>
      <c r="I54" s="167">
        <f>1650+119</f>
        <v>1769</v>
      </c>
      <c r="J54" s="30"/>
      <c r="K54" s="183">
        <f t="shared" si="1"/>
        <v>1769</v>
      </c>
      <c r="L54" s="8"/>
      <c r="M54" s="21"/>
    </row>
    <row r="55" spans="1:12" s="21" customFormat="1" ht="38.25">
      <c r="A55" s="129">
        <v>170000</v>
      </c>
      <c r="B55" s="26" t="s">
        <v>52</v>
      </c>
      <c r="C55" s="77">
        <f aca="true" t="shared" si="6" ref="C55:H55">C56</f>
        <v>0</v>
      </c>
      <c r="D55" s="77">
        <f t="shared" si="6"/>
        <v>0</v>
      </c>
      <c r="E55" s="77">
        <f t="shared" si="6"/>
        <v>0</v>
      </c>
      <c r="F55" s="166">
        <f t="shared" si="6"/>
        <v>0</v>
      </c>
      <c r="G55" s="77">
        <f t="shared" si="6"/>
        <v>0</v>
      </c>
      <c r="H55" s="77">
        <f t="shared" si="6"/>
        <v>29400</v>
      </c>
      <c r="I55" s="77"/>
      <c r="J55" s="77"/>
      <c r="K55" s="181">
        <f t="shared" si="1"/>
        <v>29400</v>
      </c>
      <c r="L55" s="23"/>
    </row>
    <row r="56" spans="1:13" ht="36.75" customHeight="1">
      <c r="A56" s="182">
        <v>170703</v>
      </c>
      <c r="B56" s="20" t="s">
        <v>53</v>
      </c>
      <c r="C56" s="30">
        <f>D56+E56+F56</f>
        <v>0</v>
      </c>
      <c r="D56" s="30"/>
      <c r="E56" s="30"/>
      <c r="F56" s="167"/>
      <c r="G56" s="30"/>
      <c r="H56" s="30">
        <v>29400</v>
      </c>
      <c r="I56" s="30"/>
      <c r="J56" s="30"/>
      <c r="K56" s="183">
        <f t="shared" si="1"/>
        <v>29400</v>
      </c>
      <c r="L56" s="8"/>
      <c r="M56" s="21"/>
    </row>
    <row r="57" spans="1:13" ht="39">
      <c r="A57" s="129">
        <v>180109</v>
      </c>
      <c r="B57" s="26" t="s">
        <v>54</v>
      </c>
      <c r="C57" s="77">
        <f aca="true" t="shared" si="7" ref="C57:C64">D57+E57+F57</f>
        <v>10921.599999999999</v>
      </c>
      <c r="D57" s="30"/>
      <c r="E57" s="30"/>
      <c r="F57" s="166">
        <f>4700.4+400+390+38.7-14.9+2703.7+2703.7</f>
        <v>10921.599999999999</v>
      </c>
      <c r="G57" s="30"/>
      <c r="H57" s="77"/>
      <c r="I57" s="30"/>
      <c r="J57" s="30"/>
      <c r="K57" s="181">
        <f t="shared" si="1"/>
        <v>10921.599999999999</v>
      </c>
      <c r="L57" s="8"/>
      <c r="M57" s="21"/>
    </row>
    <row r="58" spans="1:13" ht="25.5" customHeight="1">
      <c r="A58" s="129">
        <v>180404</v>
      </c>
      <c r="B58" s="26" t="s">
        <v>55</v>
      </c>
      <c r="C58" s="77">
        <f t="shared" si="7"/>
        <v>200</v>
      </c>
      <c r="D58" s="30"/>
      <c r="E58" s="30"/>
      <c r="F58" s="166">
        <v>200</v>
      </c>
      <c r="G58" s="30"/>
      <c r="H58" s="77"/>
      <c r="I58" s="30"/>
      <c r="J58" s="30"/>
      <c r="K58" s="181">
        <f t="shared" si="1"/>
        <v>200</v>
      </c>
      <c r="L58" s="8"/>
      <c r="M58" s="21"/>
    </row>
    <row r="59" spans="1:13" ht="65.25">
      <c r="A59" s="129" t="s">
        <v>318</v>
      </c>
      <c r="B59" s="26" t="s">
        <v>319</v>
      </c>
      <c r="C59" s="77"/>
      <c r="D59" s="30"/>
      <c r="E59" s="30"/>
      <c r="F59" s="166"/>
      <c r="G59" s="30"/>
      <c r="H59" s="77">
        <v>30</v>
      </c>
      <c r="I59" s="77">
        <v>30</v>
      </c>
      <c r="J59" s="30"/>
      <c r="K59" s="181">
        <f t="shared" si="1"/>
        <v>30</v>
      </c>
      <c r="L59" s="8"/>
      <c r="M59" s="21"/>
    </row>
    <row r="60" spans="1:12" s="21" customFormat="1" ht="38.25">
      <c r="A60" s="129">
        <v>210000</v>
      </c>
      <c r="B60" s="104" t="s">
        <v>212</v>
      </c>
      <c r="C60" s="77">
        <f>D60+E60+F60+G60</f>
        <v>3267</v>
      </c>
      <c r="D60" s="77"/>
      <c r="E60" s="77"/>
      <c r="F60" s="166">
        <f>1800+198.6+150</f>
        <v>2148.6</v>
      </c>
      <c r="G60" s="77">
        <f>1110.3+8.1</f>
        <v>1118.3999999999999</v>
      </c>
      <c r="H60" s="77"/>
      <c r="I60" s="77"/>
      <c r="J60" s="77"/>
      <c r="K60" s="181">
        <f t="shared" si="1"/>
        <v>3267</v>
      </c>
      <c r="L60" s="23"/>
    </row>
    <row r="61" spans="1:12" s="21" customFormat="1" ht="29.25" customHeight="1">
      <c r="A61" s="180" t="s">
        <v>93</v>
      </c>
      <c r="B61" s="26" t="s">
        <v>94</v>
      </c>
      <c r="C61" s="77">
        <f t="shared" si="7"/>
        <v>0</v>
      </c>
      <c r="D61" s="77"/>
      <c r="E61" s="77"/>
      <c r="F61" s="166"/>
      <c r="G61" s="77"/>
      <c r="H61" s="77">
        <v>665.4</v>
      </c>
      <c r="I61" s="77"/>
      <c r="J61" s="77"/>
      <c r="K61" s="181">
        <f t="shared" si="1"/>
        <v>665.4</v>
      </c>
      <c r="L61" s="23"/>
    </row>
    <row r="62" spans="1:12" s="21" customFormat="1" ht="13.5" customHeight="1">
      <c r="A62" s="129">
        <v>230000</v>
      </c>
      <c r="B62" s="26" t="s">
        <v>56</v>
      </c>
      <c r="C62" s="77">
        <f t="shared" si="7"/>
        <v>0.1</v>
      </c>
      <c r="D62" s="77"/>
      <c r="E62" s="77"/>
      <c r="F62" s="166">
        <v>0.1</v>
      </c>
      <c r="G62" s="77"/>
      <c r="H62" s="77"/>
      <c r="I62" s="77"/>
      <c r="J62" s="77"/>
      <c r="K62" s="181">
        <f t="shared" si="1"/>
        <v>0.1</v>
      </c>
      <c r="L62" s="23"/>
    </row>
    <row r="63" spans="1:12" s="21" customFormat="1" ht="13.5" customHeight="1">
      <c r="A63" s="180">
        <v>240000</v>
      </c>
      <c r="B63" s="26" t="s">
        <v>57</v>
      </c>
      <c r="C63" s="77">
        <f aca="true" t="shared" si="8" ref="C63:H63">C64</f>
        <v>0</v>
      </c>
      <c r="D63" s="77">
        <f t="shared" si="8"/>
        <v>0</v>
      </c>
      <c r="E63" s="77">
        <f t="shared" si="8"/>
        <v>0</v>
      </c>
      <c r="F63" s="166">
        <f t="shared" si="8"/>
        <v>0</v>
      </c>
      <c r="G63" s="77">
        <f t="shared" si="8"/>
        <v>0</v>
      </c>
      <c r="H63" s="77">
        <f t="shared" si="8"/>
        <v>38000</v>
      </c>
      <c r="I63" s="77"/>
      <c r="J63" s="77"/>
      <c r="K63" s="181">
        <f t="shared" si="1"/>
        <v>38000</v>
      </c>
      <c r="L63" s="23"/>
    </row>
    <row r="64" spans="1:13" ht="70.5" customHeight="1">
      <c r="A64" s="178" t="s">
        <v>155</v>
      </c>
      <c r="B64" s="24" t="s">
        <v>58</v>
      </c>
      <c r="C64" s="30">
        <f t="shared" si="7"/>
        <v>0</v>
      </c>
      <c r="D64" s="30"/>
      <c r="E64" s="30"/>
      <c r="F64" s="167"/>
      <c r="G64" s="30"/>
      <c r="H64" s="30">
        <v>38000</v>
      </c>
      <c r="I64" s="30"/>
      <c r="J64" s="30"/>
      <c r="K64" s="183">
        <f t="shared" si="1"/>
        <v>38000</v>
      </c>
      <c r="L64" s="8"/>
      <c r="M64" s="21"/>
    </row>
    <row r="65" spans="1:12" s="21" customFormat="1" ht="25.5">
      <c r="A65" s="129">
        <v>250000</v>
      </c>
      <c r="B65" s="26" t="s">
        <v>59</v>
      </c>
      <c r="C65" s="77">
        <f aca="true" t="shared" si="9" ref="C65:I65">C66+C67+C69+C68</f>
        <v>3159.5</v>
      </c>
      <c r="D65" s="77">
        <f t="shared" si="9"/>
        <v>3.4</v>
      </c>
      <c r="E65" s="77">
        <f t="shared" si="9"/>
        <v>0</v>
      </c>
      <c r="F65" s="166">
        <f t="shared" si="9"/>
        <v>3156.1</v>
      </c>
      <c r="G65" s="77">
        <f t="shared" si="9"/>
        <v>0</v>
      </c>
      <c r="H65" s="77">
        <f t="shared" si="9"/>
        <v>0</v>
      </c>
      <c r="I65" s="77">
        <f t="shared" si="9"/>
        <v>0</v>
      </c>
      <c r="J65" s="77"/>
      <c r="K65" s="181">
        <f t="shared" si="1"/>
        <v>3159.5</v>
      </c>
      <c r="L65" s="23"/>
    </row>
    <row r="66" spans="1:13" ht="13.5">
      <c r="A66" s="182">
        <v>250102</v>
      </c>
      <c r="B66" s="20" t="s">
        <v>60</v>
      </c>
      <c r="C66" s="30">
        <f>D66+E66+F66</f>
        <v>2651.4</v>
      </c>
      <c r="D66" s="30"/>
      <c r="E66" s="30"/>
      <c r="F66" s="167">
        <f>4000-500-500-198.6-150</f>
        <v>2651.4</v>
      </c>
      <c r="G66" s="30"/>
      <c r="H66" s="30"/>
      <c r="I66" s="30"/>
      <c r="J66" s="30"/>
      <c r="K66" s="183">
        <f t="shared" si="1"/>
        <v>2651.4</v>
      </c>
      <c r="L66" s="8"/>
      <c r="M66" s="21"/>
    </row>
    <row r="67" spans="1:13" ht="26.25" customHeight="1">
      <c r="A67" s="182">
        <v>250203</v>
      </c>
      <c r="B67" s="20" t="s">
        <v>213</v>
      </c>
      <c r="C67" s="30">
        <f>D67+E67+F67</f>
        <v>7</v>
      </c>
      <c r="D67" s="30">
        <f>1.7+1.7</f>
        <v>3.4</v>
      </c>
      <c r="E67" s="30"/>
      <c r="F67" s="167">
        <f>105-101.5+1.8-1.7</f>
        <v>3.5999999999999996</v>
      </c>
      <c r="G67" s="30"/>
      <c r="H67" s="30"/>
      <c r="I67" s="30"/>
      <c r="J67" s="30"/>
      <c r="K67" s="183">
        <f t="shared" si="1"/>
        <v>7</v>
      </c>
      <c r="L67" s="8"/>
      <c r="M67" s="21"/>
    </row>
    <row r="68" spans="1:13" ht="26.25" customHeight="1">
      <c r="A68" s="182" t="s">
        <v>237</v>
      </c>
      <c r="B68" s="20" t="s">
        <v>275</v>
      </c>
      <c r="C68" s="30">
        <f>D68+E68+F68</f>
        <v>276.1</v>
      </c>
      <c r="D68" s="30"/>
      <c r="E68" s="30"/>
      <c r="F68" s="167">
        <f>101.5+101.5+73.1</f>
        <v>276.1</v>
      </c>
      <c r="G68" s="30"/>
      <c r="H68" s="30"/>
      <c r="I68" s="30"/>
      <c r="J68" s="30"/>
      <c r="K68" s="183">
        <f t="shared" si="1"/>
        <v>276.1</v>
      </c>
      <c r="L68" s="8"/>
      <c r="M68" s="21"/>
    </row>
    <row r="69" spans="1:13" ht="14.25" thickBot="1">
      <c r="A69" s="184">
        <v>250404</v>
      </c>
      <c r="B69" s="135" t="s">
        <v>61</v>
      </c>
      <c r="C69" s="112">
        <f>D69+E69+F69</f>
        <v>225</v>
      </c>
      <c r="D69" s="112"/>
      <c r="E69" s="112"/>
      <c r="F69" s="169">
        <f>225</f>
        <v>225</v>
      </c>
      <c r="G69" s="112"/>
      <c r="H69" s="112"/>
      <c r="I69" s="112"/>
      <c r="J69" s="112"/>
      <c r="K69" s="185">
        <f t="shared" si="1"/>
        <v>225</v>
      </c>
      <c r="L69" s="8"/>
      <c r="M69" s="21"/>
    </row>
    <row r="70" spans="1:13" s="21" customFormat="1" ht="18" customHeight="1" thickBot="1">
      <c r="A70" s="174"/>
      <c r="B70" s="175" t="s">
        <v>62</v>
      </c>
      <c r="C70" s="170">
        <f>C13+C15+C17+C18+C19+C39+C40+C44+C47+C48+C55+C57+C58+C60+C62+C63+C64+C65</f>
        <v>574494.4</v>
      </c>
      <c r="D70" s="170">
        <f>D13+D15+D17+D18+D19+D39+D40+D44+D47+D48+D55+D57+D58+D60+D62+D63+D64+D65</f>
        <v>149083.6</v>
      </c>
      <c r="E70" s="170">
        <f>E13+E15+E17+E18+E19+E39+E40+E44+E47+E48+E55+E57+E58+E60+E62+E63+E64+E65</f>
        <v>33641.8</v>
      </c>
      <c r="F70" s="171">
        <f>F13+F15+F17+F18+F19+F39+F40+F44+F47+F48+F55+F57+F58+F60+F62+F63+F64+F65</f>
        <v>364076.89999999997</v>
      </c>
      <c r="G70" s="170">
        <f>G13+G15+G17+G18+G19+G39+G40+G44+G47+G48+G55+G57+G58+G60+G62+G63+G64+G65</f>
        <v>27692.100000000002</v>
      </c>
      <c r="H70" s="170">
        <f>H13+H15+H17+H18+H19+H39+H40+H44+H47+H48+H55+H57+H58+H60+H62+H63+H65+H61+H59</f>
        <v>151852.5</v>
      </c>
      <c r="I70" s="170">
        <f>I13+I15+I17+I18+I19+I39+I40+I44+I47+I48+I55+I57+I58+I60+I62+I63+I65+I61+I59</f>
        <v>64138.2</v>
      </c>
      <c r="J70" s="170">
        <f>J13+J15+J17+J18+J19+J39+J40+J44+J47+J48+J55+J57+J58+J60+J62+J63+J65+J61+J59</f>
        <v>406.5</v>
      </c>
      <c r="K70" s="172">
        <f>K13+K15+K17+K18+K19+K39+K40+K44+K47+K48+K55+K57+K58+K60+K62+K63+K65+K61+K59</f>
        <v>726346.8999999999</v>
      </c>
      <c r="L70" s="28"/>
      <c r="M70" s="29"/>
    </row>
    <row r="71" spans="1:13" ht="69" customHeight="1">
      <c r="A71" s="186">
        <v>250301</v>
      </c>
      <c r="B71" s="173" t="s">
        <v>216</v>
      </c>
      <c r="C71" s="75">
        <f aca="true" t="shared" si="10" ref="C71:C83">D71+E71+F71</f>
        <v>14715</v>
      </c>
      <c r="D71" s="75"/>
      <c r="E71" s="75"/>
      <c r="F71" s="165">
        <v>14715</v>
      </c>
      <c r="G71" s="75"/>
      <c r="H71" s="75"/>
      <c r="I71" s="75"/>
      <c r="J71" s="75"/>
      <c r="K71" s="179">
        <f t="shared" si="1"/>
        <v>14715</v>
      </c>
      <c r="L71" s="8"/>
      <c r="M71" s="21"/>
    </row>
    <row r="72" spans="1:13" ht="39.75" customHeight="1">
      <c r="A72" s="182">
        <v>250306</v>
      </c>
      <c r="B72" s="135" t="s">
        <v>63</v>
      </c>
      <c r="C72" s="30">
        <f t="shared" si="10"/>
        <v>62731.7</v>
      </c>
      <c r="D72" s="77"/>
      <c r="E72" s="77"/>
      <c r="F72" s="167">
        <f>20000+6692.7+340+11000+10000+12000+900+30+1650+119</f>
        <v>62731.7</v>
      </c>
      <c r="G72" s="77"/>
      <c r="H72" s="77"/>
      <c r="I72" s="77"/>
      <c r="J72" s="77"/>
      <c r="K72" s="183">
        <f t="shared" si="1"/>
        <v>62731.7</v>
      </c>
      <c r="L72" s="8"/>
      <c r="M72" s="21"/>
    </row>
    <row r="73" spans="1:13" ht="39.75" customHeight="1">
      <c r="A73" s="130" t="s">
        <v>331</v>
      </c>
      <c r="B73" s="32" t="s">
        <v>326</v>
      </c>
      <c r="C73" s="30">
        <f t="shared" si="10"/>
        <v>41966</v>
      </c>
      <c r="D73" s="77"/>
      <c r="E73" s="77"/>
      <c r="F73" s="167">
        <f>43616-1650</f>
        <v>41966</v>
      </c>
      <c r="G73" s="77"/>
      <c r="H73" s="77"/>
      <c r="I73" s="77"/>
      <c r="J73" s="77"/>
      <c r="K73" s="183">
        <f t="shared" si="1"/>
        <v>41966</v>
      </c>
      <c r="L73" s="8"/>
      <c r="M73" s="21"/>
    </row>
    <row r="74" spans="1:13" ht="67.5">
      <c r="A74" s="187" t="s">
        <v>246</v>
      </c>
      <c r="B74" s="32" t="s">
        <v>239</v>
      </c>
      <c r="C74" s="30">
        <f t="shared" si="10"/>
        <v>93935.5</v>
      </c>
      <c r="D74" s="77"/>
      <c r="E74" s="77"/>
      <c r="F74" s="167">
        <v>93935.5</v>
      </c>
      <c r="G74" s="77"/>
      <c r="H74" s="77"/>
      <c r="I74" s="77"/>
      <c r="J74" s="77"/>
      <c r="K74" s="183">
        <f t="shared" si="1"/>
        <v>93935.5</v>
      </c>
      <c r="L74" s="8"/>
      <c r="M74" s="21"/>
    </row>
    <row r="75" spans="1:13" ht="207.75" customHeight="1">
      <c r="A75" s="187" t="s">
        <v>247</v>
      </c>
      <c r="B75" s="140" t="s">
        <v>296</v>
      </c>
      <c r="C75" s="30">
        <f t="shared" si="10"/>
        <v>173905.7</v>
      </c>
      <c r="D75" s="77"/>
      <c r="E75" s="77"/>
      <c r="F75" s="167">
        <v>173905.7</v>
      </c>
      <c r="G75" s="77"/>
      <c r="H75" s="77"/>
      <c r="I75" s="77"/>
      <c r="J75" s="77"/>
      <c r="K75" s="183">
        <f t="shared" si="1"/>
        <v>173905.7</v>
      </c>
      <c r="L75" s="8"/>
      <c r="M75" s="21"/>
    </row>
    <row r="76" spans="1:13" ht="223.5" customHeight="1">
      <c r="A76" s="187" t="s">
        <v>236</v>
      </c>
      <c r="B76" s="113" t="s">
        <v>297</v>
      </c>
      <c r="C76" s="134">
        <v>60229.2</v>
      </c>
      <c r="D76" s="77"/>
      <c r="E76" s="77"/>
      <c r="F76" s="167">
        <v>60229.2</v>
      </c>
      <c r="G76" s="77"/>
      <c r="H76" s="77"/>
      <c r="I76" s="77"/>
      <c r="J76" s="77"/>
      <c r="K76" s="183">
        <f t="shared" si="1"/>
        <v>60229.2</v>
      </c>
      <c r="L76" s="8"/>
      <c r="M76" s="21"/>
    </row>
    <row r="77" spans="1:13" ht="106.5" customHeight="1">
      <c r="A77" s="182">
        <v>250313</v>
      </c>
      <c r="B77" s="136" t="s">
        <v>214</v>
      </c>
      <c r="C77" s="30">
        <f t="shared" si="10"/>
        <v>21399.2</v>
      </c>
      <c r="D77" s="30"/>
      <c r="E77" s="30"/>
      <c r="F77" s="167">
        <f>21892.9-493.7</f>
        <v>21399.2</v>
      </c>
      <c r="G77" s="30"/>
      <c r="H77" s="30"/>
      <c r="I77" s="30"/>
      <c r="J77" s="30"/>
      <c r="K77" s="183">
        <f t="shared" si="1"/>
        <v>21399.2</v>
      </c>
      <c r="L77" s="8"/>
      <c r="M77" s="21"/>
    </row>
    <row r="78" spans="1:13" s="21" customFormat="1" ht="144.75" customHeight="1">
      <c r="A78" s="182" t="s">
        <v>248</v>
      </c>
      <c r="B78" s="113" t="s">
        <v>243</v>
      </c>
      <c r="C78" s="30">
        <f t="shared" si="10"/>
        <v>21042.2</v>
      </c>
      <c r="D78" s="30"/>
      <c r="E78" s="30"/>
      <c r="F78" s="167">
        <v>21042.2</v>
      </c>
      <c r="G78" s="30"/>
      <c r="H78" s="30"/>
      <c r="I78" s="30"/>
      <c r="J78" s="30"/>
      <c r="K78" s="183">
        <f t="shared" si="1"/>
        <v>21042.2</v>
      </c>
      <c r="L78" s="28"/>
      <c r="M78" s="29"/>
    </row>
    <row r="79" spans="1:13" s="21" customFormat="1" ht="81" hidden="1">
      <c r="A79" s="182" t="s">
        <v>300</v>
      </c>
      <c r="B79" s="113" t="s">
        <v>224</v>
      </c>
      <c r="C79" s="30">
        <f t="shared" si="10"/>
        <v>0</v>
      </c>
      <c r="D79" s="30"/>
      <c r="E79" s="30"/>
      <c r="F79" s="167"/>
      <c r="G79" s="30"/>
      <c r="H79" s="30"/>
      <c r="I79" s="30"/>
      <c r="J79" s="30"/>
      <c r="K79" s="183">
        <f t="shared" si="1"/>
        <v>0</v>
      </c>
      <c r="L79" s="28"/>
      <c r="M79" s="29"/>
    </row>
    <row r="80" spans="1:12" s="21" customFormat="1" ht="69.75" customHeight="1">
      <c r="A80" s="182" t="s">
        <v>258</v>
      </c>
      <c r="B80" s="113" t="s">
        <v>245</v>
      </c>
      <c r="C80" s="30">
        <f t="shared" si="10"/>
        <v>0</v>
      </c>
      <c r="D80" s="30"/>
      <c r="E80" s="30"/>
      <c r="F80" s="167"/>
      <c r="G80" s="30"/>
      <c r="H80" s="30">
        <v>9037.8</v>
      </c>
      <c r="I80" s="30"/>
      <c r="J80" s="30"/>
      <c r="K80" s="183">
        <f t="shared" si="1"/>
        <v>9037.8</v>
      </c>
      <c r="L80" s="23"/>
    </row>
    <row r="81" spans="1:12" s="21" customFormat="1" ht="69.75" customHeight="1">
      <c r="A81" s="272" t="s">
        <v>330</v>
      </c>
      <c r="B81" s="273" t="s">
        <v>328</v>
      </c>
      <c r="C81" s="75">
        <f t="shared" si="10"/>
        <v>33441</v>
      </c>
      <c r="D81" s="212"/>
      <c r="E81" s="212"/>
      <c r="F81" s="215">
        <v>33441</v>
      </c>
      <c r="G81" s="212"/>
      <c r="H81" s="212"/>
      <c r="I81" s="212"/>
      <c r="J81" s="212"/>
      <c r="K81" s="179">
        <f t="shared" si="1"/>
        <v>33441</v>
      </c>
      <c r="L81" s="23"/>
    </row>
    <row r="82" spans="1:12" s="21" customFormat="1" ht="57.75" customHeight="1">
      <c r="A82" s="182" t="s">
        <v>320</v>
      </c>
      <c r="B82" s="113" t="s">
        <v>321</v>
      </c>
      <c r="C82" s="30">
        <f t="shared" si="10"/>
        <v>1340</v>
      </c>
      <c r="D82" s="30"/>
      <c r="E82" s="30"/>
      <c r="F82" s="167">
        <f>200+1140</f>
        <v>1340</v>
      </c>
      <c r="G82" s="30"/>
      <c r="H82" s="30"/>
      <c r="I82" s="30"/>
      <c r="J82" s="30"/>
      <c r="K82" s="183">
        <f t="shared" si="1"/>
        <v>1340</v>
      </c>
      <c r="L82" s="23"/>
    </row>
    <row r="83" spans="1:12" s="21" customFormat="1" ht="57.75" customHeight="1" hidden="1">
      <c r="A83" s="274"/>
      <c r="B83" s="244" t="s">
        <v>339</v>
      </c>
      <c r="C83" s="245">
        <f t="shared" si="10"/>
        <v>0</v>
      </c>
      <c r="D83" s="245"/>
      <c r="E83" s="245"/>
      <c r="F83" s="245"/>
      <c r="G83" s="245"/>
      <c r="H83" s="245"/>
      <c r="I83" s="245"/>
      <c r="J83" s="245"/>
      <c r="K83" s="246">
        <f t="shared" si="1"/>
        <v>0</v>
      </c>
      <c r="L83" s="23"/>
    </row>
    <row r="84" spans="1:13" s="21" customFormat="1" ht="13.5" thickBot="1">
      <c r="A84" s="302" t="s">
        <v>64</v>
      </c>
      <c r="B84" s="303"/>
      <c r="C84" s="233">
        <f>C80+C78+C77+C76+C75+C74+C72+C71+C70+C79+C82+C73+C81+C83</f>
        <v>1099199.9000000001</v>
      </c>
      <c r="D84" s="233">
        <f>D80+D78+D77+D76+D75+D74+D72+D71+D70+D79</f>
        <v>149083.6</v>
      </c>
      <c r="E84" s="233">
        <f aca="true" t="shared" si="11" ref="E84:J84">E80+E78+E77+E76+E75+E74+E72+E71+E70+E79</f>
        <v>33641.8</v>
      </c>
      <c r="F84" s="233">
        <f>F80+F78+F77+F76+F75+F74+F72+F71+F70+F79+F82+F81+F73</f>
        <v>888782.4</v>
      </c>
      <c r="G84" s="233">
        <f t="shared" si="11"/>
        <v>27692.100000000002</v>
      </c>
      <c r="H84" s="233">
        <f>H80+H78+H77+H76+H75+H74+H72+H71+H70+H79</f>
        <v>160890.3</v>
      </c>
      <c r="I84" s="233">
        <f t="shared" si="11"/>
        <v>64138.2</v>
      </c>
      <c r="J84" s="233">
        <f t="shared" si="11"/>
        <v>406.5</v>
      </c>
      <c r="K84" s="234">
        <f>C84+H84</f>
        <v>1260090.2000000002</v>
      </c>
      <c r="L84" s="23"/>
      <c r="M84" s="29"/>
    </row>
    <row r="85" spans="2:11" ht="13.5">
      <c r="B85" s="98"/>
      <c r="C85" s="216">
        <v>982676.3</v>
      </c>
      <c r="D85" s="216">
        <v>149042.1</v>
      </c>
      <c r="E85" s="216">
        <v>33618.7</v>
      </c>
      <c r="F85" s="217">
        <v>800015.5</v>
      </c>
      <c r="G85" s="216">
        <v>0</v>
      </c>
      <c r="H85" s="216">
        <v>158684.8</v>
      </c>
      <c r="I85" s="216">
        <v>61932.7</v>
      </c>
      <c r="J85" s="216"/>
      <c r="K85" s="216">
        <v>1141361.1</v>
      </c>
    </row>
    <row r="86" spans="2:11" ht="13.5" hidden="1">
      <c r="B86" s="98"/>
      <c r="C86" s="216"/>
      <c r="D86" s="216"/>
      <c r="E86" s="216"/>
      <c r="F86" s="217"/>
      <c r="G86" s="216"/>
      <c r="H86" s="216"/>
      <c r="I86" s="216"/>
      <c r="J86" s="216"/>
      <c r="K86" s="216"/>
    </row>
    <row r="87" spans="2:11" ht="13.5">
      <c r="B87" s="98"/>
      <c r="C87" s="216"/>
      <c r="D87" s="216"/>
      <c r="E87" s="216"/>
      <c r="F87" s="217"/>
      <c r="G87" s="216"/>
      <c r="H87" s="216"/>
      <c r="I87" s="216"/>
      <c r="J87" s="216"/>
      <c r="K87" s="216"/>
    </row>
    <row r="88" spans="2:11" ht="13.5">
      <c r="B88" s="98"/>
      <c r="C88" s="33"/>
      <c r="D88" s="33"/>
      <c r="E88" s="33"/>
      <c r="F88" s="168"/>
      <c r="G88" s="33"/>
      <c r="H88" s="33"/>
      <c r="I88" s="33"/>
      <c r="J88" s="33"/>
      <c r="K88" s="33" t="e">
        <f>K84-#REF!</f>
        <v>#REF!</v>
      </c>
    </row>
    <row r="89" spans="2:3" ht="13.5">
      <c r="B89" s="98"/>
      <c r="C89" s="33">
        <f>C84-'№1'!C65</f>
        <v>30670.800000000047</v>
      </c>
    </row>
    <row r="90" spans="2:11" ht="13.5">
      <c r="B90" s="98"/>
      <c r="C90" s="33"/>
      <c r="D90" s="33"/>
      <c r="E90" s="33"/>
      <c r="F90" s="168"/>
      <c r="G90" s="33"/>
      <c r="H90" s="33"/>
      <c r="I90" s="33"/>
      <c r="K90" s="33">
        <f>K84-'№1'!F65</f>
        <v>30670.800000000047</v>
      </c>
    </row>
    <row r="91" spans="2:8" ht="13.5">
      <c r="B91" s="98"/>
      <c r="C91" s="33"/>
      <c r="D91" s="33"/>
      <c r="E91" s="33"/>
      <c r="F91" s="168"/>
      <c r="G91" s="33"/>
      <c r="H91" s="33"/>
    </row>
    <row r="92" ht="13.5">
      <c r="B92" s="98"/>
    </row>
    <row r="93" ht="13.5">
      <c r="B93" s="98"/>
    </row>
    <row r="94" ht="13.5">
      <c r="B94" s="98"/>
    </row>
    <row r="95" ht="13.5">
      <c r="B95" s="98"/>
    </row>
    <row r="96" ht="13.5">
      <c r="B96" s="98"/>
    </row>
    <row r="97" ht="13.5">
      <c r="B97" s="98"/>
    </row>
    <row r="98" ht="13.5">
      <c r="B98" s="98"/>
    </row>
    <row r="99" ht="13.5">
      <c r="B99" s="98"/>
    </row>
    <row r="100" ht="13.5">
      <c r="B100" s="98"/>
    </row>
    <row r="101" ht="13.5">
      <c r="B101" s="98"/>
    </row>
    <row r="102" ht="13.5">
      <c r="B102" s="98"/>
    </row>
    <row r="103" ht="13.5">
      <c r="B103" s="98"/>
    </row>
    <row r="104" ht="13.5">
      <c r="B104" s="98"/>
    </row>
    <row r="105" ht="13.5">
      <c r="B105" s="98"/>
    </row>
    <row r="106" ht="13.5">
      <c r="B106" s="98"/>
    </row>
    <row r="107" ht="13.5">
      <c r="B107" s="98"/>
    </row>
    <row r="108" ht="13.5">
      <c r="B108" s="98"/>
    </row>
    <row r="109" ht="13.5">
      <c r="B109" s="98"/>
    </row>
    <row r="110" ht="13.5">
      <c r="B110" s="98"/>
    </row>
    <row r="111" ht="13.5">
      <c r="B111" s="98"/>
    </row>
    <row r="112" ht="13.5">
      <c r="B112" s="98"/>
    </row>
    <row r="113" ht="13.5">
      <c r="B113" s="98"/>
    </row>
    <row r="114" ht="13.5">
      <c r="B114" s="98"/>
    </row>
    <row r="115" ht="13.5">
      <c r="B115" s="98"/>
    </row>
    <row r="116" ht="13.5">
      <c r="B116" s="98"/>
    </row>
    <row r="117" ht="13.5">
      <c r="B117" s="98"/>
    </row>
    <row r="118" ht="13.5">
      <c r="B118" s="98"/>
    </row>
    <row r="119" ht="13.5">
      <c r="B119" s="98"/>
    </row>
    <row r="120" ht="13.5">
      <c r="B120" s="98"/>
    </row>
    <row r="121" ht="13.5">
      <c r="B121" s="98"/>
    </row>
    <row r="122" ht="13.5">
      <c r="B122" s="98"/>
    </row>
    <row r="123" ht="13.5">
      <c r="B123" s="98"/>
    </row>
    <row r="124" ht="13.5">
      <c r="B124" s="98"/>
    </row>
    <row r="125" ht="13.5">
      <c r="B125" s="98"/>
    </row>
    <row r="126" ht="13.5">
      <c r="B126" s="98"/>
    </row>
    <row r="127" ht="13.5">
      <c r="B127" s="98"/>
    </row>
    <row r="128" ht="13.5">
      <c r="B128" s="98"/>
    </row>
    <row r="129" ht="13.5">
      <c r="B129" s="98"/>
    </row>
    <row r="130" ht="13.5">
      <c r="B130" s="98"/>
    </row>
    <row r="131" ht="13.5">
      <c r="B131" s="98"/>
    </row>
    <row r="132" ht="13.5">
      <c r="B132" s="98"/>
    </row>
    <row r="133" ht="13.5">
      <c r="B133" s="98"/>
    </row>
    <row r="134" ht="13.5">
      <c r="B134" s="98"/>
    </row>
    <row r="135" ht="13.5">
      <c r="B135" s="98"/>
    </row>
    <row r="136" ht="13.5">
      <c r="B136" s="98"/>
    </row>
    <row r="137" ht="13.5">
      <c r="B137" s="98"/>
    </row>
    <row r="138" ht="13.5">
      <c r="B138" s="98"/>
    </row>
    <row r="139" ht="13.5">
      <c r="B139" s="98"/>
    </row>
    <row r="140" ht="13.5">
      <c r="B140" s="98"/>
    </row>
    <row r="141" ht="13.5">
      <c r="B141" s="98"/>
    </row>
    <row r="142" ht="13.5">
      <c r="B142" s="98"/>
    </row>
    <row r="143" ht="13.5">
      <c r="B143" s="98"/>
    </row>
    <row r="144" ht="13.5">
      <c r="B144" s="98"/>
    </row>
    <row r="145" ht="13.5">
      <c r="B145" s="98"/>
    </row>
    <row r="146" ht="13.5">
      <c r="B146" s="98"/>
    </row>
    <row r="147" ht="13.5">
      <c r="B147" s="98"/>
    </row>
    <row r="148" ht="13.5">
      <c r="B148" s="98"/>
    </row>
    <row r="149" ht="13.5">
      <c r="B149" s="98"/>
    </row>
    <row r="150" ht="13.5">
      <c r="B150" s="98"/>
    </row>
    <row r="151" ht="13.5">
      <c r="B151" s="98"/>
    </row>
    <row r="152" ht="13.5">
      <c r="B152" s="98"/>
    </row>
    <row r="153" ht="13.5">
      <c r="B153" s="98"/>
    </row>
    <row r="154" ht="13.5">
      <c r="B154" s="98"/>
    </row>
    <row r="155" ht="13.5">
      <c r="B155" s="98"/>
    </row>
    <row r="156" ht="13.5">
      <c r="B156" s="98"/>
    </row>
    <row r="157" ht="13.5">
      <c r="B157" s="98"/>
    </row>
    <row r="158" ht="13.5">
      <c r="B158" s="98"/>
    </row>
    <row r="159" ht="13.5">
      <c r="B159" s="98"/>
    </row>
    <row r="160" ht="13.5">
      <c r="B160" s="98"/>
    </row>
    <row r="161" ht="13.5">
      <c r="B161" s="98"/>
    </row>
    <row r="162" ht="13.5">
      <c r="B162" s="98"/>
    </row>
    <row r="163" ht="13.5">
      <c r="B163" s="98"/>
    </row>
    <row r="164" ht="13.5">
      <c r="B164" s="98"/>
    </row>
    <row r="165" ht="13.5">
      <c r="B165" s="98"/>
    </row>
    <row r="166" ht="13.5">
      <c r="B166" s="98"/>
    </row>
    <row r="167" ht="13.5">
      <c r="B167" s="98"/>
    </row>
    <row r="168" ht="13.5">
      <c r="B168" s="98"/>
    </row>
    <row r="169" ht="13.5">
      <c r="B169" s="98"/>
    </row>
    <row r="170" ht="13.5">
      <c r="B170" s="98"/>
    </row>
    <row r="171" ht="13.5">
      <c r="B171" s="98"/>
    </row>
    <row r="172" ht="13.5">
      <c r="B172" s="98"/>
    </row>
    <row r="173" ht="13.5">
      <c r="B173" s="98"/>
    </row>
    <row r="174" ht="13.5">
      <c r="B174" s="98"/>
    </row>
    <row r="175" ht="13.5">
      <c r="B175" s="98"/>
    </row>
    <row r="176" ht="13.5">
      <c r="B176" s="98"/>
    </row>
    <row r="177" ht="13.5">
      <c r="B177" s="98"/>
    </row>
    <row r="178" ht="13.5">
      <c r="B178" s="98"/>
    </row>
    <row r="179" ht="13.5">
      <c r="B179" s="98"/>
    </row>
    <row r="180" ht="13.5">
      <c r="B180" s="98"/>
    </row>
    <row r="181" ht="13.5">
      <c r="B181" s="98"/>
    </row>
    <row r="182" ht="13.5">
      <c r="B182" s="98"/>
    </row>
    <row r="183" ht="13.5">
      <c r="B183" s="98"/>
    </row>
    <row r="184" ht="13.5">
      <c r="B184" s="98"/>
    </row>
    <row r="185" ht="13.5">
      <c r="B185" s="98"/>
    </row>
    <row r="186" ht="13.5">
      <c r="B186" s="98"/>
    </row>
    <row r="187" ht="13.5">
      <c r="B187" s="98"/>
    </row>
    <row r="188" ht="13.5">
      <c r="B188" s="98"/>
    </row>
    <row r="189" ht="13.5">
      <c r="B189" s="98"/>
    </row>
    <row r="190" ht="13.5">
      <c r="B190" s="98"/>
    </row>
    <row r="191" ht="13.5">
      <c r="B191" s="98"/>
    </row>
    <row r="192" ht="13.5">
      <c r="B192" s="98"/>
    </row>
    <row r="193" ht="13.5">
      <c r="B193" s="98"/>
    </row>
    <row r="194" ht="13.5">
      <c r="B194" s="98"/>
    </row>
    <row r="195" ht="13.5">
      <c r="B195" s="98"/>
    </row>
    <row r="196" ht="13.5">
      <c r="B196" s="98"/>
    </row>
    <row r="197" ht="13.5">
      <c r="B197" s="98"/>
    </row>
    <row r="198" ht="13.5">
      <c r="B198" s="98"/>
    </row>
    <row r="199" ht="13.5">
      <c r="B199" s="98"/>
    </row>
    <row r="200" ht="13.5">
      <c r="B200" s="98"/>
    </row>
    <row r="201" ht="13.5">
      <c r="B201" s="98"/>
    </row>
    <row r="202" ht="13.5">
      <c r="B202" s="98"/>
    </row>
    <row r="203" ht="13.5">
      <c r="B203" s="98"/>
    </row>
    <row r="204" ht="13.5">
      <c r="B204" s="98"/>
    </row>
    <row r="205" ht="13.5">
      <c r="B205" s="98"/>
    </row>
    <row r="206" ht="13.5">
      <c r="B206" s="98"/>
    </row>
    <row r="207" ht="13.5">
      <c r="B207" s="98"/>
    </row>
    <row r="208" ht="13.5">
      <c r="B208" s="98"/>
    </row>
    <row r="209" ht="13.5">
      <c r="B209" s="98"/>
    </row>
    <row r="210" ht="13.5">
      <c r="B210" s="98"/>
    </row>
    <row r="211" ht="13.5">
      <c r="B211" s="98"/>
    </row>
    <row r="212" ht="13.5">
      <c r="B212" s="98"/>
    </row>
    <row r="213" ht="13.5">
      <c r="B213" s="98"/>
    </row>
    <row r="214" ht="13.5">
      <c r="B214" s="98"/>
    </row>
    <row r="215" ht="13.5">
      <c r="B215" s="98"/>
    </row>
    <row r="216" ht="13.5">
      <c r="B216" s="98"/>
    </row>
    <row r="217" ht="13.5">
      <c r="B217" s="98"/>
    </row>
    <row r="218" ht="13.5">
      <c r="B218" s="98"/>
    </row>
    <row r="219" ht="13.5">
      <c r="B219" s="98"/>
    </row>
    <row r="220" ht="13.5">
      <c r="B220" s="98"/>
    </row>
    <row r="221" ht="13.5">
      <c r="B221" s="98"/>
    </row>
    <row r="222" ht="13.5">
      <c r="B222" s="98"/>
    </row>
    <row r="223" ht="13.5">
      <c r="B223" s="98"/>
    </row>
    <row r="224" ht="13.5">
      <c r="B224" s="98"/>
    </row>
    <row r="225" ht="13.5">
      <c r="B225" s="98"/>
    </row>
    <row r="226" ht="13.5">
      <c r="B226" s="98"/>
    </row>
    <row r="227" ht="13.5">
      <c r="B227" s="98"/>
    </row>
    <row r="228" ht="13.5">
      <c r="B228" s="98"/>
    </row>
    <row r="229" ht="13.5">
      <c r="B229" s="98"/>
    </row>
    <row r="230" ht="13.5">
      <c r="B230" s="98"/>
    </row>
    <row r="231" ht="13.5">
      <c r="B231" s="98"/>
    </row>
    <row r="232" ht="13.5">
      <c r="B232" s="98"/>
    </row>
    <row r="233" ht="13.5">
      <c r="B233" s="98"/>
    </row>
    <row r="234" ht="13.5">
      <c r="B234" s="98"/>
    </row>
    <row r="235" ht="13.5">
      <c r="B235" s="98"/>
    </row>
    <row r="236" ht="13.5">
      <c r="B236" s="98"/>
    </row>
    <row r="237" ht="13.5">
      <c r="B237" s="98"/>
    </row>
    <row r="238" ht="13.5">
      <c r="B238" s="98"/>
    </row>
    <row r="239" ht="13.5">
      <c r="B239" s="98"/>
    </row>
    <row r="240" ht="13.5">
      <c r="B240" s="98"/>
    </row>
    <row r="241" ht="13.5">
      <c r="B241" s="98"/>
    </row>
    <row r="242" ht="13.5">
      <c r="B242" s="98"/>
    </row>
    <row r="243" ht="13.5">
      <c r="B243" s="98"/>
    </row>
    <row r="244" ht="13.5">
      <c r="B244" s="98"/>
    </row>
    <row r="245" ht="13.5">
      <c r="B245" s="98"/>
    </row>
    <row r="246" ht="13.5">
      <c r="B246" s="98"/>
    </row>
    <row r="247" ht="13.5">
      <c r="B247" s="98"/>
    </row>
    <row r="248" ht="13.5">
      <c r="B248" s="98"/>
    </row>
    <row r="249" ht="13.5">
      <c r="B249" s="98"/>
    </row>
    <row r="250" ht="13.5">
      <c r="B250" s="98"/>
    </row>
    <row r="251" ht="13.5">
      <c r="B251" s="98"/>
    </row>
    <row r="252" ht="13.5">
      <c r="B252" s="98"/>
    </row>
    <row r="253" ht="13.5">
      <c r="B253" s="98"/>
    </row>
    <row r="254" ht="13.5">
      <c r="B254" s="98"/>
    </row>
    <row r="255" ht="13.5">
      <c r="B255" s="98"/>
    </row>
    <row r="256" ht="13.5">
      <c r="B256" s="98"/>
    </row>
    <row r="257" ht="13.5">
      <c r="B257" s="98"/>
    </row>
    <row r="258" ht="13.5">
      <c r="B258" s="98"/>
    </row>
    <row r="259" ht="13.5">
      <c r="B259" s="98"/>
    </row>
    <row r="260" ht="13.5">
      <c r="B260" s="98"/>
    </row>
    <row r="261" ht="13.5">
      <c r="B261" s="98"/>
    </row>
    <row r="262" ht="13.5">
      <c r="B262" s="98"/>
    </row>
    <row r="263" ht="13.5">
      <c r="B263" s="98"/>
    </row>
    <row r="264" ht="13.5">
      <c r="B264" s="98"/>
    </row>
    <row r="265" ht="13.5">
      <c r="B265" s="98"/>
    </row>
    <row r="266" ht="13.5">
      <c r="B266" s="98"/>
    </row>
    <row r="267" ht="13.5">
      <c r="B267" s="98"/>
    </row>
    <row r="268" ht="13.5">
      <c r="B268" s="98"/>
    </row>
    <row r="269" ht="13.5">
      <c r="B269" s="98"/>
    </row>
    <row r="270" ht="13.5">
      <c r="B270" s="98"/>
    </row>
    <row r="271" ht="13.5">
      <c r="B271" s="98"/>
    </row>
    <row r="272" ht="13.5">
      <c r="B272" s="98"/>
    </row>
    <row r="273" ht="13.5">
      <c r="B273" s="98"/>
    </row>
    <row r="274" ht="13.5">
      <c r="B274" s="98"/>
    </row>
    <row r="275" ht="13.5">
      <c r="B275" s="98"/>
    </row>
    <row r="276" ht="13.5">
      <c r="B276" s="98"/>
    </row>
    <row r="277" ht="13.5">
      <c r="B277" s="98"/>
    </row>
    <row r="278" ht="13.5">
      <c r="B278" s="98"/>
    </row>
    <row r="279" ht="13.5">
      <c r="B279" s="98"/>
    </row>
    <row r="280" ht="13.5">
      <c r="B280" s="98"/>
    </row>
    <row r="281" ht="13.5">
      <c r="B281" s="98"/>
    </row>
    <row r="282" ht="13.5">
      <c r="B282" s="98"/>
    </row>
    <row r="283" ht="13.5">
      <c r="B283" s="98"/>
    </row>
    <row r="284" ht="13.5">
      <c r="B284" s="98"/>
    </row>
    <row r="285" ht="13.5">
      <c r="B285" s="98"/>
    </row>
    <row r="286" ht="13.5">
      <c r="B286" s="98"/>
    </row>
    <row r="287" ht="13.5">
      <c r="B287" s="98"/>
    </row>
    <row r="288" ht="13.5">
      <c r="B288" s="98"/>
    </row>
    <row r="289" ht="13.5">
      <c r="B289" s="98"/>
    </row>
    <row r="290" ht="13.5">
      <c r="B290" s="98"/>
    </row>
    <row r="291" ht="13.5">
      <c r="B291" s="98"/>
    </row>
    <row r="292" ht="13.5">
      <c r="B292" s="98"/>
    </row>
    <row r="293" ht="13.5">
      <c r="B293" s="98"/>
    </row>
    <row r="294" ht="13.5">
      <c r="B294" s="98"/>
    </row>
    <row r="295" ht="13.5">
      <c r="B295" s="98"/>
    </row>
    <row r="296" ht="13.5">
      <c r="B296" s="98"/>
    </row>
    <row r="297" ht="13.5">
      <c r="B297" s="98"/>
    </row>
    <row r="298" ht="13.5">
      <c r="B298" s="98"/>
    </row>
    <row r="299" ht="13.5">
      <c r="B299" s="98"/>
    </row>
    <row r="300" ht="13.5">
      <c r="B300" s="98"/>
    </row>
    <row r="301" ht="13.5">
      <c r="B301" s="98"/>
    </row>
    <row r="302" ht="13.5">
      <c r="B302" s="98"/>
    </row>
    <row r="303" ht="13.5">
      <c r="B303" s="98"/>
    </row>
    <row r="304" ht="13.5">
      <c r="B304" s="98"/>
    </row>
    <row r="305" ht="13.5">
      <c r="B305" s="98"/>
    </row>
    <row r="306" ht="13.5">
      <c r="B306" s="98"/>
    </row>
    <row r="307" ht="13.5">
      <c r="B307" s="98"/>
    </row>
    <row r="308" ht="13.5">
      <c r="B308" s="98"/>
    </row>
    <row r="309" ht="13.5">
      <c r="B309" s="98"/>
    </row>
    <row r="310" ht="13.5">
      <c r="B310" s="98"/>
    </row>
    <row r="311" ht="13.5">
      <c r="B311" s="98"/>
    </row>
    <row r="312" ht="13.5">
      <c r="B312" s="98"/>
    </row>
    <row r="313" ht="13.5">
      <c r="B313" s="98"/>
    </row>
    <row r="314" ht="13.5">
      <c r="B314" s="98"/>
    </row>
    <row r="315" ht="13.5">
      <c r="B315" s="98"/>
    </row>
    <row r="316" ht="13.5">
      <c r="B316" s="98"/>
    </row>
    <row r="317" ht="13.5">
      <c r="B317" s="98"/>
    </row>
    <row r="318" ht="13.5">
      <c r="B318" s="98"/>
    </row>
    <row r="319" ht="13.5">
      <c r="B319" s="98"/>
    </row>
    <row r="320" ht="13.5">
      <c r="B320" s="98"/>
    </row>
    <row r="321" ht="13.5">
      <c r="B321" s="98"/>
    </row>
    <row r="322" ht="13.5">
      <c r="B322" s="98"/>
    </row>
    <row r="323" ht="13.5">
      <c r="B323" s="98"/>
    </row>
    <row r="324" ht="13.5">
      <c r="B324" s="98"/>
    </row>
    <row r="325" ht="13.5">
      <c r="B325" s="98"/>
    </row>
    <row r="326" ht="13.5">
      <c r="B326" s="98"/>
    </row>
    <row r="327" ht="13.5">
      <c r="B327" s="98"/>
    </row>
    <row r="328" ht="13.5">
      <c r="B328" s="98"/>
    </row>
    <row r="329" ht="13.5">
      <c r="B329" s="98"/>
    </row>
    <row r="330" ht="13.5">
      <c r="B330" s="98"/>
    </row>
    <row r="331" ht="13.5">
      <c r="B331" s="98"/>
    </row>
    <row r="332" ht="13.5">
      <c r="B332" s="98"/>
    </row>
    <row r="333" ht="13.5">
      <c r="B333" s="98"/>
    </row>
    <row r="334" ht="13.5">
      <c r="B334" s="98"/>
    </row>
    <row r="335" ht="13.5">
      <c r="B335" s="98"/>
    </row>
    <row r="336" ht="13.5">
      <c r="B336" s="98"/>
    </row>
    <row r="337" ht="13.5">
      <c r="B337" s="98"/>
    </row>
    <row r="338" ht="13.5">
      <c r="B338" s="98"/>
    </row>
    <row r="339" ht="13.5">
      <c r="B339" s="98"/>
    </row>
    <row r="340" ht="13.5">
      <c r="B340" s="98"/>
    </row>
    <row r="341" ht="13.5">
      <c r="B341" s="98"/>
    </row>
    <row r="342" ht="13.5">
      <c r="B342" s="98"/>
    </row>
    <row r="343" ht="13.5">
      <c r="B343" s="98"/>
    </row>
    <row r="344" ht="13.5">
      <c r="B344" s="98"/>
    </row>
    <row r="345" ht="13.5">
      <c r="B345" s="98"/>
    </row>
    <row r="346" ht="13.5">
      <c r="B346" s="98"/>
    </row>
    <row r="347" ht="13.5">
      <c r="B347" s="98"/>
    </row>
    <row r="348" ht="13.5">
      <c r="B348" s="98"/>
    </row>
    <row r="349" ht="13.5">
      <c r="B349" s="98"/>
    </row>
    <row r="350" ht="13.5">
      <c r="B350" s="98"/>
    </row>
    <row r="351" ht="13.5">
      <c r="B351" s="98"/>
    </row>
    <row r="352" ht="13.5">
      <c r="B352" s="98"/>
    </row>
    <row r="353" ht="13.5">
      <c r="B353" s="98"/>
    </row>
    <row r="354" ht="13.5">
      <c r="B354" s="98"/>
    </row>
    <row r="355" ht="13.5">
      <c r="B355" s="98"/>
    </row>
    <row r="356" ht="13.5">
      <c r="B356" s="98"/>
    </row>
    <row r="357" ht="13.5">
      <c r="B357" s="98"/>
    </row>
    <row r="358" ht="13.5">
      <c r="B358" s="98"/>
    </row>
    <row r="359" ht="13.5">
      <c r="B359" s="98"/>
    </row>
    <row r="360" ht="13.5">
      <c r="B360" s="98"/>
    </row>
    <row r="361" ht="13.5">
      <c r="B361" s="98"/>
    </row>
    <row r="362" ht="13.5">
      <c r="B362" s="98"/>
    </row>
    <row r="363" ht="13.5">
      <c r="B363" s="98"/>
    </row>
    <row r="364" ht="13.5">
      <c r="B364" s="98"/>
    </row>
    <row r="365" ht="13.5">
      <c r="B365" s="98"/>
    </row>
    <row r="366" ht="13.5">
      <c r="B366" s="98"/>
    </row>
    <row r="367" ht="13.5">
      <c r="B367" s="98"/>
    </row>
    <row r="368" ht="13.5">
      <c r="B368" s="98"/>
    </row>
    <row r="369" ht="13.5">
      <c r="B369" s="98"/>
    </row>
    <row r="370" ht="13.5">
      <c r="B370" s="98"/>
    </row>
    <row r="371" ht="13.5">
      <c r="B371" s="98"/>
    </row>
    <row r="372" ht="13.5">
      <c r="B372" s="98"/>
    </row>
    <row r="373" ht="13.5">
      <c r="B373" s="98"/>
    </row>
    <row r="374" ht="13.5">
      <c r="B374" s="98"/>
    </row>
    <row r="375" ht="13.5">
      <c r="B375" s="98"/>
    </row>
    <row r="376" ht="13.5">
      <c r="B376" s="98"/>
    </row>
    <row r="377" ht="13.5">
      <c r="B377" s="98"/>
    </row>
    <row r="378" ht="13.5">
      <c r="B378" s="98"/>
    </row>
    <row r="379" ht="13.5">
      <c r="B379" s="98"/>
    </row>
    <row r="380" ht="13.5">
      <c r="B380" s="98"/>
    </row>
    <row r="381" ht="13.5">
      <c r="B381" s="98"/>
    </row>
    <row r="382" ht="13.5">
      <c r="B382" s="98"/>
    </row>
    <row r="383" ht="13.5">
      <c r="B383" s="98"/>
    </row>
    <row r="384" ht="13.5">
      <c r="B384" s="98"/>
    </row>
    <row r="385" ht="13.5">
      <c r="B385" s="98"/>
    </row>
    <row r="386" ht="13.5">
      <c r="B386" s="98"/>
    </row>
    <row r="387" ht="13.5">
      <c r="B387" s="98"/>
    </row>
    <row r="388" ht="13.5">
      <c r="B388" s="98"/>
    </row>
    <row r="389" ht="13.5">
      <c r="B389" s="98"/>
    </row>
    <row r="390" ht="13.5">
      <c r="B390" s="98"/>
    </row>
    <row r="391" ht="13.5">
      <c r="B391" s="98"/>
    </row>
    <row r="392" ht="13.5">
      <c r="B392" s="98"/>
    </row>
    <row r="393" ht="13.5">
      <c r="B393" s="98"/>
    </row>
    <row r="394" ht="13.5">
      <c r="B394" s="98"/>
    </row>
    <row r="395" ht="13.5">
      <c r="B395" s="98"/>
    </row>
    <row r="396" ht="13.5">
      <c r="B396" s="98"/>
    </row>
    <row r="397" ht="13.5">
      <c r="B397" s="98"/>
    </row>
    <row r="398" ht="13.5">
      <c r="B398" s="98"/>
    </row>
    <row r="399" ht="13.5">
      <c r="B399" s="98"/>
    </row>
    <row r="400" ht="13.5">
      <c r="B400" s="98"/>
    </row>
    <row r="401" ht="13.5">
      <c r="B401" s="98"/>
    </row>
    <row r="402" ht="13.5">
      <c r="B402" s="98"/>
    </row>
    <row r="403" ht="13.5">
      <c r="B403" s="98"/>
    </row>
    <row r="404" ht="13.5">
      <c r="B404" s="98"/>
    </row>
    <row r="405" ht="13.5">
      <c r="B405" s="98"/>
    </row>
    <row r="406" ht="13.5">
      <c r="B406" s="98"/>
    </row>
    <row r="407" ht="13.5">
      <c r="B407" s="98"/>
    </row>
    <row r="408" ht="13.5">
      <c r="B408" s="98"/>
    </row>
    <row r="409" ht="13.5">
      <c r="B409" s="98"/>
    </row>
    <row r="410" ht="13.5">
      <c r="B410" s="98"/>
    </row>
    <row r="411" ht="13.5">
      <c r="B411" s="98"/>
    </row>
    <row r="412" ht="13.5">
      <c r="B412" s="98"/>
    </row>
    <row r="413" ht="13.5">
      <c r="B413" s="98"/>
    </row>
    <row r="414" ht="13.5">
      <c r="B414" s="98"/>
    </row>
    <row r="415" ht="13.5">
      <c r="B415" s="98"/>
    </row>
    <row r="416" ht="13.5">
      <c r="B416" s="98"/>
    </row>
    <row r="417" ht="13.5">
      <c r="B417" s="98"/>
    </row>
    <row r="418" ht="13.5">
      <c r="B418" s="98"/>
    </row>
    <row r="419" ht="13.5">
      <c r="B419" s="98"/>
    </row>
    <row r="420" ht="13.5">
      <c r="B420" s="98"/>
    </row>
    <row r="421" ht="13.5">
      <c r="B421" s="98"/>
    </row>
    <row r="422" ht="13.5">
      <c r="B422" s="98"/>
    </row>
    <row r="423" ht="13.5">
      <c r="B423" s="98"/>
    </row>
    <row r="424" ht="13.5">
      <c r="B424" s="98"/>
    </row>
    <row r="425" ht="13.5">
      <c r="B425" s="98"/>
    </row>
    <row r="426" ht="13.5">
      <c r="B426" s="98"/>
    </row>
    <row r="427" ht="13.5">
      <c r="B427" s="98"/>
    </row>
    <row r="428" ht="13.5">
      <c r="B428" s="98"/>
    </row>
    <row r="429" ht="13.5">
      <c r="B429" s="98"/>
    </row>
    <row r="430" ht="13.5">
      <c r="B430" s="98"/>
    </row>
    <row r="431" ht="13.5">
      <c r="B431" s="98"/>
    </row>
    <row r="432" ht="13.5">
      <c r="B432" s="98"/>
    </row>
    <row r="433" ht="13.5">
      <c r="B433" s="98"/>
    </row>
    <row r="434" ht="13.5">
      <c r="B434" s="98"/>
    </row>
    <row r="435" ht="13.5">
      <c r="B435" s="98"/>
    </row>
    <row r="436" ht="13.5">
      <c r="B436" s="98"/>
    </row>
    <row r="437" ht="13.5">
      <c r="B437" s="98"/>
    </row>
    <row r="438" ht="13.5">
      <c r="B438" s="98"/>
    </row>
    <row r="439" ht="13.5">
      <c r="B439" s="98"/>
    </row>
    <row r="440" ht="13.5">
      <c r="B440" s="98"/>
    </row>
    <row r="441" ht="13.5">
      <c r="B441" s="98"/>
    </row>
    <row r="442" ht="13.5">
      <c r="B442" s="98"/>
    </row>
    <row r="443" ht="13.5">
      <c r="B443" s="98"/>
    </row>
    <row r="444" ht="13.5">
      <c r="B444" s="98"/>
    </row>
    <row r="445" ht="13.5">
      <c r="B445" s="98"/>
    </row>
    <row r="446" ht="13.5">
      <c r="B446" s="98"/>
    </row>
    <row r="447" ht="13.5">
      <c r="B447" s="98"/>
    </row>
    <row r="448" ht="13.5">
      <c r="B448" s="98"/>
    </row>
    <row r="449" ht="13.5">
      <c r="B449" s="98"/>
    </row>
    <row r="450" ht="13.5">
      <c r="B450" s="98"/>
    </row>
    <row r="451" ht="13.5">
      <c r="B451" s="98"/>
    </row>
    <row r="452" ht="13.5">
      <c r="B452" s="98"/>
    </row>
    <row r="453" ht="13.5">
      <c r="B453" s="98"/>
    </row>
    <row r="454" ht="13.5">
      <c r="B454" s="98"/>
    </row>
    <row r="455" ht="13.5">
      <c r="B455" s="98"/>
    </row>
    <row r="456" ht="13.5">
      <c r="B456" s="98"/>
    </row>
    <row r="457" ht="13.5">
      <c r="B457" s="98"/>
    </row>
    <row r="458" ht="13.5">
      <c r="B458" s="98"/>
    </row>
    <row r="459" ht="13.5">
      <c r="B459" s="98"/>
    </row>
    <row r="460" ht="13.5">
      <c r="B460" s="98"/>
    </row>
    <row r="461" ht="13.5">
      <c r="B461" s="98"/>
    </row>
    <row r="462" ht="13.5">
      <c r="B462" s="98"/>
    </row>
    <row r="463" ht="13.5">
      <c r="B463" s="98"/>
    </row>
    <row r="464" ht="13.5">
      <c r="B464" s="98"/>
    </row>
    <row r="465" ht="13.5">
      <c r="B465" s="98"/>
    </row>
    <row r="466" ht="13.5">
      <c r="B466" s="98"/>
    </row>
    <row r="467" ht="13.5">
      <c r="B467" s="98"/>
    </row>
    <row r="468" ht="13.5">
      <c r="B468" s="98"/>
    </row>
    <row r="469" ht="13.5">
      <c r="B469" s="98"/>
    </row>
    <row r="470" ht="13.5">
      <c r="B470" s="98"/>
    </row>
    <row r="471" ht="13.5">
      <c r="B471" s="98"/>
    </row>
    <row r="472" ht="13.5">
      <c r="B472" s="98"/>
    </row>
    <row r="473" ht="13.5">
      <c r="B473" s="98"/>
    </row>
  </sheetData>
  <mergeCells count="14">
    <mergeCell ref="D10:G10"/>
    <mergeCell ref="H10:H11"/>
    <mergeCell ref="J10:J11"/>
    <mergeCell ref="H3:K3"/>
    <mergeCell ref="A84:B84"/>
    <mergeCell ref="H1:J1"/>
    <mergeCell ref="A6:K6"/>
    <mergeCell ref="A7:K7"/>
    <mergeCell ref="A9:A11"/>
    <mergeCell ref="B9:B11"/>
    <mergeCell ref="C9:G9"/>
    <mergeCell ref="H9:J9"/>
    <mergeCell ref="K9:K11"/>
    <mergeCell ref="C10:C11"/>
  </mergeCells>
  <printOptions/>
  <pageMargins left="0.5511811023622047" right="0.27" top="0.3937007874015748" bottom="0.39" header="0.5118110236220472" footer="0.5118110236220472"/>
  <pageSetup horizontalDpi="600" verticalDpi="600" orientation="portrait" paperSize="9" scale="81" r:id="rId1"/>
  <rowBreaks count="1" manualBreakCount="1">
    <brk id="66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249"/>
  <sheetViews>
    <sheetView tabSelected="1" view="pageBreakPreview" zoomScale="75" zoomScaleSheetLayoutView="75" workbookViewId="0" topLeftCell="A14">
      <selection activeCell="B21" sqref="B21"/>
    </sheetView>
  </sheetViews>
  <sheetFormatPr defaultColWidth="9.00390625" defaultRowHeight="12.75"/>
  <cols>
    <col min="1" max="1" width="8.125" style="132" customWidth="1"/>
    <col min="2" max="2" width="34.75390625" style="35" customWidth="1"/>
    <col min="3" max="3" width="9.75390625" style="3" customWidth="1"/>
    <col min="4" max="4" width="8.125" style="3" customWidth="1"/>
    <col min="5" max="5" width="8.25390625" style="3" customWidth="1"/>
    <col min="6" max="6" width="9.625" style="3" customWidth="1"/>
    <col min="7" max="7" width="8.125" style="3" customWidth="1"/>
    <col min="8" max="8" width="8.875" style="3" customWidth="1"/>
    <col min="9" max="9" width="8.75390625" style="3" customWidth="1"/>
    <col min="10" max="10" width="7.00390625" style="3" customWidth="1"/>
    <col min="11" max="11" width="9.875" style="3" customWidth="1"/>
    <col min="12" max="13" width="8.875" style="36" customWidth="1"/>
    <col min="14" max="14" width="9.375" style="36" bestFit="1" customWidth="1"/>
    <col min="15" max="59" width="8.875" style="36" customWidth="1"/>
    <col min="60" max="16384" width="8.875" style="3" customWidth="1"/>
  </cols>
  <sheetData>
    <row r="1" spans="6:11" ht="12.75" customHeight="1" hidden="1">
      <c r="F1" s="337"/>
      <c r="G1" s="337"/>
      <c r="H1" s="337"/>
      <c r="I1" s="337"/>
      <c r="J1" s="337"/>
      <c r="K1" s="337"/>
    </row>
    <row r="2" spans="6:11" ht="12.75" customHeight="1" hidden="1">
      <c r="F2" s="5"/>
      <c r="G2" s="5"/>
      <c r="H2" s="5"/>
      <c r="I2" s="5"/>
      <c r="J2" s="5"/>
      <c r="K2" s="5"/>
    </row>
    <row r="3" spans="6:11" ht="12.75" customHeight="1" hidden="1">
      <c r="F3" s="4" t="s">
        <v>65</v>
      </c>
      <c r="G3" s="4"/>
      <c r="H3" s="4"/>
      <c r="I3" s="4"/>
      <c r="J3" s="4"/>
      <c r="K3" s="4"/>
    </row>
    <row r="4" spans="5:11" ht="13.5">
      <c r="E4" s="37" t="s">
        <v>66</v>
      </c>
      <c r="H4" s="338" t="s">
        <v>67</v>
      </c>
      <c r="I4" s="338"/>
      <c r="J4" s="338"/>
      <c r="K4" s="338"/>
    </row>
    <row r="5" spans="8:11" ht="13.5">
      <c r="H5" s="5" t="s">
        <v>1</v>
      </c>
      <c r="I5" s="6"/>
      <c r="J5" s="6"/>
      <c r="K5" s="6"/>
    </row>
    <row r="6" spans="8:11" ht="13.5" customHeight="1">
      <c r="H6" s="324" t="s">
        <v>303</v>
      </c>
      <c r="I6" s="324"/>
      <c r="J6" s="324"/>
      <c r="K6" s="324"/>
    </row>
    <row r="7" ht="13.5" customHeight="1"/>
    <row r="8" spans="1:11" ht="15">
      <c r="A8" s="305" t="s">
        <v>201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</row>
    <row r="9" spans="1:11" ht="15" customHeight="1">
      <c r="A9" s="305" t="s">
        <v>68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8:11" ht="14.25" thickBot="1">
      <c r="H10" s="327" t="s">
        <v>202</v>
      </c>
      <c r="I10" s="327"/>
      <c r="J10" s="327"/>
      <c r="K10" s="327"/>
    </row>
    <row r="11" spans="1:11" ht="24.75" customHeight="1" thickBot="1">
      <c r="A11" s="306" t="s">
        <v>4</v>
      </c>
      <c r="B11" s="328" t="s">
        <v>69</v>
      </c>
      <c r="C11" s="331" t="s">
        <v>6</v>
      </c>
      <c r="D11" s="332"/>
      <c r="E11" s="332"/>
      <c r="F11" s="332"/>
      <c r="G11" s="333"/>
      <c r="H11" s="314" t="s">
        <v>7</v>
      </c>
      <c r="I11" s="315"/>
      <c r="J11" s="316"/>
      <c r="K11" s="322" t="s">
        <v>8</v>
      </c>
    </row>
    <row r="12" spans="1:11" ht="40.5" customHeight="1" thickBot="1">
      <c r="A12" s="307"/>
      <c r="B12" s="329"/>
      <c r="C12" s="335" t="s">
        <v>9</v>
      </c>
      <c r="D12" s="331" t="s">
        <v>10</v>
      </c>
      <c r="E12" s="332"/>
      <c r="F12" s="332"/>
      <c r="G12" s="333"/>
      <c r="H12" s="335" t="s">
        <v>9</v>
      </c>
      <c r="I12" s="15" t="s">
        <v>11</v>
      </c>
      <c r="J12" s="322" t="s">
        <v>12</v>
      </c>
      <c r="K12" s="334"/>
    </row>
    <row r="13" spans="1:11" ht="96" customHeight="1" thickBot="1">
      <c r="A13" s="308"/>
      <c r="B13" s="330"/>
      <c r="C13" s="336"/>
      <c r="D13" s="15" t="s">
        <v>13</v>
      </c>
      <c r="E13" s="15" t="s">
        <v>14</v>
      </c>
      <c r="F13" s="15" t="s">
        <v>15</v>
      </c>
      <c r="G13" s="15" t="s">
        <v>70</v>
      </c>
      <c r="H13" s="336"/>
      <c r="I13" s="15" t="s">
        <v>17</v>
      </c>
      <c r="J13" s="323"/>
      <c r="K13" s="323"/>
    </row>
    <row r="14" spans="1:11" ht="14.25" thickBot="1">
      <c r="A14" s="188">
        <v>1</v>
      </c>
      <c r="B14" s="189">
        <v>2</v>
      </c>
      <c r="C14" s="190">
        <v>3</v>
      </c>
      <c r="D14" s="190">
        <v>4</v>
      </c>
      <c r="E14" s="190">
        <v>5</v>
      </c>
      <c r="F14" s="190">
        <v>6</v>
      </c>
      <c r="G14" s="190">
        <v>7</v>
      </c>
      <c r="H14" s="190">
        <v>8</v>
      </c>
      <c r="I14" s="190">
        <v>9</v>
      </c>
      <c r="J14" s="190">
        <v>10</v>
      </c>
      <c r="K14" s="190">
        <v>11</v>
      </c>
    </row>
    <row r="15" spans="1:59" s="39" customFormat="1" ht="13.5">
      <c r="A15" s="198"/>
      <c r="B15" s="199" t="s">
        <v>71</v>
      </c>
      <c r="C15" s="200">
        <f>C16+C18+C19+C22+C24+C25+C26+C17+C20+C21</f>
        <v>16171.1</v>
      </c>
      <c r="D15" s="200">
        <f>D16+D18+D19+D22+D24+D25+D26+D17</f>
        <v>543.1</v>
      </c>
      <c r="E15" s="200">
        <f>E16+E18+E19+E22+E24+E25+E26+E17</f>
        <v>991.6</v>
      </c>
      <c r="F15" s="200">
        <f>F16+F18+F19+F22+F24+F25+F26+F17+F20+F21</f>
        <v>14053.300000000001</v>
      </c>
      <c r="G15" s="200">
        <f>G16+G18+G19+G22+G24+G25+G26+G17</f>
        <v>583.1</v>
      </c>
      <c r="H15" s="200">
        <f>H16+H18+H19+H22+H24+H25+H26+H23</f>
        <v>20030</v>
      </c>
      <c r="I15" s="200">
        <f>I16+I18+I19+I22+I24+I25+I26+I23</f>
        <v>20030</v>
      </c>
      <c r="J15" s="200">
        <f>J16+J18+J19+J22+J24+J25+J26</f>
        <v>0</v>
      </c>
      <c r="K15" s="201">
        <f>C15+H15</f>
        <v>36201.1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</row>
    <row r="16" spans="1:59" ht="13.5">
      <c r="A16" s="178" t="s">
        <v>20</v>
      </c>
      <c r="B16" s="41" t="s">
        <v>21</v>
      </c>
      <c r="C16" s="30">
        <f>D16+E16+F16</f>
        <v>3768.8000000000006</v>
      </c>
      <c r="D16" s="25">
        <v>539.7</v>
      </c>
      <c r="E16" s="25">
        <v>991.6</v>
      </c>
      <c r="F16" s="25">
        <f>3768.8-D16-E16</f>
        <v>2237.5000000000005</v>
      </c>
      <c r="G16" s="25"/>
      <c r="H16" s="25"/>
      <c r="I16" s="25"/>
      <c r="J16" s="25"/>
      <c r="K16" s="202">
        <f aca="true" t="shared" si="0" ref="K16:K106">C16+H16</f>
        <v>3768.8000000000006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ht="25.5" customHeight="1">
      <c r="A17" s="178" t="s">
        <v>24</v>
      </c>
      <c r="B17" s="96" t="s">
        <v>25</v>
      </c>
      <c r="C17" s="30">
        <f>D17+E17+F17+G17</f>
        <v>4683.1</v>
      </c>
      <c r="D17" s="25"/>
      <c r="E17" s="25"/>
      <c r="F17" s="25">
        <f>3300+800</f>
        <v>4100</v>
      </c>
      <c r="G17" s="25">
        <f>590.1-7</f>
        <v>583.1</v>
      </c>
      <c r="H17" s="25"/>
      <c r="I17" s="25"/>
      <c r="J17" s="25"/>
      <c r="K17" s="202">
        <f t="shared" si="0"/>
        <v>4683.1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ht="27">
      <c r="A18" s="178" t="s">
        <v>72</v>
      </c>
      <c r="B18" s="41" t="s">
        <v>217</v>
      </c>
      <c r="C18" s="30">
        <f aca="true" t="shared" si="1" ref="C18:C26">D18+E18+F18+G18</f>
        <v>36</v>
      </c>
      <c r="D18" s="25"/>
      <c r="E18" s="25"/>
      <c r="F18" s="25">
        <v>36</v>
      </c>
      <c r="G18" s="25"/>
      <c r="H18" s="25"/>
      <c r="I18" s="25"/>
      <c r="J18" s="25"/>
      <c r="K18" s="202">
        <f t="shared" si="0"/>
        <v>36</v>
      </c>
      <c r="L18" s="40"/>
      <c r="M18" s="109"/>
      <c r="N18" s="109"/>
      <c r="O18" s="109"/>
      <c r="P18" s="10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ht="27">
      <c r="A19" s="178" t="s">
        <v>34</v>
      </c>
      <c r="B19" s="24" t="s">
        <v>35</v>
      </c>
      <c r="C19" s="30">
        <f t="shared" si="1"/>
        <v>27</v>
      </c>
      <c r="D19" s="25"/>
      <c r="E19" s="25"/>
      <c r="F19" s="25">
        <v>27</v>
      </c>
      <c r="G19" s="25"/>
      <c r="H19" s="25"/>
      <c r="I19" s="25"/>
      <c r="J19" s="25"/>
      <c r="K19" s="202">
        <f t="shared" si="0"/>
        <v>27</v>
      </c>
      <c r="L19" s="195"/>
      <c r="M19" s="110"/>
      <c r="N19" s="110"/>
      <c r="O19" s="110"/>
      <c r="P19" s="11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ht="13.5">
      <c r="A20" s="178" t="s">
        <v>341</v>
      </c>
      <c r="B20" s="24" t="s">
        <v>337</v>
      </c>
      <c r="C20" s="30">
        <f t="shared" si="1"/>
        <v>1000</v>
      </c>
      <c r="D20" s="25"/>
      <c r="E20" s="25"/>
      <c r="F20" s="25">
        <v>1000</v>
      </c>
      <c r="G20" s="25"/>
      <c r="H20" s="25"/>
      <c r="I20" s="25"/>
      <c r="J20" s="25"/>
      <c r="K20" s="202">
        <f t="shared" si="0"/>
        <v>1000</v>
      </c>
      <c r="L20" s="195"/>
      <c r="M20" s="110"/>
      <c r="N20" s="110"/>
      <c r="O20" s="110"/>
      <c r="P20" s="11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ht="13.5">
      <c r="A21" s="178" t="s">
        <v>345</v>
      </c>
      <c r="B21" s="24" t="s">
        <v>73</v>
      </c>
      <c r="C21" s="30">
        <f t="shared" si="1"/>
        <v>1700</v>
      </c>
      <c r="D21" s="25"/>
      <c r="E21" s="25"/>
      <c r="F21" s="25">
        <v>1700</v>
      </c>
      <c r="G21" s="25"/>
      <c r="H21" s="25"/>
      <c r="I21" s="25"/>
      <c r="J21" s="25"/>
      <c r="K21" s="202">
        <f t="shared" si="0"/>
        <v>1700</v>
      </c>
      <c r="L21" s="195"/>
      <c r="M21" s="110"/>
      <c r="N21" s="110"/>
      <c r="O21" s="110"/>
      <c r="P21" s="11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ht="27">
      <c r="A22" s="178">
        <v>180109</v>
      </c>
      <c r="B22" s="24" t="s">
        <v>54</v>
      </c>
      <c r="C22" s="30">
        <f t="shared" si="1"/>
        <v>4724.2</v>
      </c>
      <c r="D22" s="25"/>
      <c r="E22" s="25"/>
      <c r="F22" s="25">
        <f>4700.4+38.7-14.9</f>
        <v>4724.2</v>
      </c>
      <c r="G22" s="25"/>
      <c r="H22" s="25"/>
      <c r="I22" s="25"/>
      <c r="J22" s="25"/>
      <c r="K22" s="202">
        <f t="shared" si="0"/>
        <v>4724.2</v>
      </c>
      <c r="L22" s="195"/>
      <c r="M22" s="111"/>
      <c r="N22" s="111"/>
      <c r="O22" s="111"/>
      <c r="P22" s="11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ht="67.5">
      <c r="A23" s="178" t="s">
        <v>318</v>
      </c>
      <c r="B23" s="20" t="s">
        <v>319</v>
      </c>
      <c r="C23" s="30"/>
      <c r="D23" s="25"/>
      <c r="E23" s="25"/>
      <c r="F23" s="25"/>
      <c r="G23" s="25"/>
      <c r="H23" s="25">
        <v>30</v>
      </c>
      <c r="I23" s="25">
        <v>30</v>
      </c>
      <c r="J23" s="25"/>
      <c r="K23" s="202">
        <f t="shared" si="0"/>
        <v>30</v>
      </c>
      <c r="L23" s="195"/>
      <c r="M23" s="111"/>
      <c r="N23" s="111"/>
      <c r="O23" s="111"/>
      <c r="P23" s="11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ht="13.5" customHeight="1">
      <c r="A24" s="182">
        <v>150101</v>
      </c>
      <c r="B24" s="20" t="s">
        <v>51</v>
      </c>
      <c r="C24" s="30">
        <f t="shared" si="1"/>
        <v>0</v>
      </c>
      <c r="D24" s="25"/>
      <c r="E24" s="25"/>
      <c r="F24" s="25"/>
      <c r="G24" s="25"/>
      <c r="H24" s="25">
        <v>20000</v>
      </c>
      <c r="I24" s="25">
        <v>20000</v>
      </c>
      <c r="J24" s="25"/>
      <c r="K24" s="202">
        <f t="shared" si="0"/>
        <v>20000</v>
      </c>
      <c r="L24" s="195"/>
      <c r="M24" s="110"/>
      <c r="N24" s="110"/>
      <c r="O24" s="110"/>
      <c r="P24" s="11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ht="13.5">
      <c r="A25" s="178">
        <v>250404</v>
      </c>
      <c r="B25" s="41" t="s">
        <v>73</v>
      </c>
      <c r="C25" s="30">
        <f t="shared" si="1"/>
        <v>225</v>
      </c>
      <c r="D25" s="25"/>
      <c r="E25" s="25"/>
      <c r="F25" s="25">
        <v>225</v>
      </c>
      <c r="G25" s="25"/>
      <c r="H25" s="25"/>
      <c r="I25" s="25"/>
      <c r="J25" s="25"/>
      <c r="K25" s="202">
        <f t="shared" si="0"/>
        <v>225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ht="27">
      <c r="A26" s="178" t="s">
        <v>74</v>
      </c>
      <c r="B26" s="24" t="s">
        <v>213</v>
      </c>
      <c r="C26" s="30">
        <f t="shared" si="1"/>
        <v>7</v>
      </c>
      <c r="D26" s="25">
        <f>1.7+1.7</f>
        <v>3.4</v>
      </c>
      <c r="E26" s="25"/>
      <c r="F26" s="25">
        <f>105-101.5+1.8-1.7</f>
        <v>3.5999999999999996</v>
      </c>
      <c r="G26" s="25"/>
      <c r="H26" s="25"/>
      <c r="I26" s="25"/>
      <c r="J26" s="25"/>
      <c r="K26" s="202">
        <f t="shared" si="0"/>
        <v>7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12" s="21" customFormat="1" ht="27.75" customHeight="1">
      <c r="A27" s="180"/>
      <c r="B27" s="101" t="s">
        <v>75</v>
      </c>
      <c r="C27" s="77">
        <f>C28+C31</f>
        <v>80094.40000000001</v>
      </c>
      <c r="D27" s="77">
        <f aca="true" t="shared" si="2" ref="D27:I27">D28+D31</f>
        <v>33186.8</v>
      </c>
      <c r="E27" s="77">
        <f t="shared" si="2"/>
        <v>8444.7</v>
      </c>
      <c r="F27" s="77">
        <f t="shared" si="2"/>
        <v>35590.9</v>
      </c>
      <c r="G27" s="77">
        <f t="shared" si="2"/>
        <v>2872</v>
      </c>
      <c r="H27" s="77">
        <f t="shared" si="2"/>
        <v>1088.8</v>
      </c>
      <c r="I27" s="77">
        <f t="shared" si="2"/>
        <v>0</v>
      </c>
      <c r="J27" s="77"/>
      <c r="K27" s="203">
        <f t="shared" si="0"/>
        <v>81183.20000000001</v>
      </c>
      <c r="L27" s="23"/>
    </row>
    <row r="28" spans="1:59" ht="40.5">
      <c r="A28" s="178" t="s">
        <v>26</v>
      </c>
      <c r="B28" s="24" t="s">
        <v>226</v>
      </c>
      <c r="C28" s="30">
        <f>D28+E28+F28+G28</f>
        <v>79725.1</v>
      </c>
      <c r="D28" s="30">
        <v>32986.3</v>
      </c>
      <c r="E28" s="30">
        <v>8440.6</v>
      </c>
      <c r="F28" s="30">
        <f>35411.3+14.9</f>
        <v>35426.200000000004</v>
      </c>
      <c r="G28" s="30">
        <f>2906-34</f>
        <v>2872</v>
      </c>
      <c r="H28" s="25">
        <v>1088.8</v>
      </c>
      <c r="I28" s="25"/>
      <c r="J28" s="25"/>
      <c r="K28" s="202">
        <f t="shared" si="0"/>
        <v>80813.90000000001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ht="27">
      <c r="A29" s="178"/>
      <c r="B29" s="41" t="s">
        <v>231</v>
      </c>
      <c r="C29" s="30">
        <f>D29+E29+F29+G29</f>
        <v>79.5</v>
      </c>
      <c r="D29" s="25"/>
      <c r="E29" s="25"/>
      <c r="F29" s="25">
        <v>79.5</v>
      </c>
      <c r="G29" s="25"/>
      <c r="H29" s="25"/>
      <c r="I29" s="25"/>
      <c r="J29" s="25"/>
      <c r="K29" s="202">
        <f>C29+H29</f>
        <v>79.5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ht="78" customHeight="1">
      <c r="A30" s="178"/>
      <c r="B30" s="114" t="s">
        <v>232</v>
      </c>
      <c r="C30" s="30">
        <f>D30+E30+F30+G30</f>
        <v>580.6</v>
      </c>
      <c r="D30" s="25">
        <v>195.1</v>
      </c>
      <c r="E30" s="25">
        <v>49</v>
      </c>
      <c r="F30" s="25">
        <f>321.6+14.9</f>
        <v>336.5</v>
      </c>
      <c r="G30" s="25"/>
      <c r="H30" s="25">
        <v>197</v>
      </c>
      <c r="I30" s="25"/>
      <c r="J30" s="25"/>
      <c r="K30" s="202">
        <f>C30+H30</f>
        <v>777.6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ht="25.5" customHeight="1">
      <c r="A31" s="178">
        <v>130000</v>
      </c>
      <c r="B31" s="41" t="s">
        <v>76</v>
      </c>
      <c r="C31" s="30">
        <f>D31+E31+F31</f>
        <v>369.29999999999995</v>
      </c>
      <c r="D31" s="25">
        <v>200.5</v>
      </c>
      <c r="E31" s="25">
        <v>4.1</v>
      </c>
      <c r="F31" s="25">
        <v>164.7</v>
      </c>
      <c r="G31" s="25"/>
      <c r="H31" s="25"/>
      <c r="I31" s="25"/>
      <c r="J31" s="25"/>
      <c r="K31" s="202">
        <f t="shared" si="0"/>
        <v>369.29999999999995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s="21" customFormat="1" ht="13.5">
      <c r="A32" s="180"/>
      <c r="B32" s="102" t="s">
        <v>77</v>
      </c>
      <c r="C32" s="77">
        <f>C33+C36+C37+C38</f>
        <v>224808.7</v>
      </c>
      <c r="D32" s="77">
        <f>D33+D36+D37+D38</f>
        <v>90399.40000000001</v>
      </c>
      <c r="E32" s="77">
        <f>E33+E36+E37+E38</f>
        <v>17763.9</v>
      </c>
      <c r="F32" s="77">
        <f>F33+F36+F37+F38</f>
        <v>106987.3</v>
      </c>
      <c r="G32" s="77">
        <f>G33+G36+G37+G38</f>
        <v>9658.1</v>
      </c>
      <c r="H32" s="77">
        <f>H33+H36+H37+H38+H39</f>
        <v>22033.300000000003</v>
      </c>
      <c r="I32" s="77">
        <f>I33+I36+I37+I38+I39</f>
        <v>10964.9</v>
      </c>
      <c r="J32" s="77">
        <f>J33+J35+J36+J37</f>
        <v>0</v>
      </c>
      <c r="K32" s="203">
        <f>C32+H32</f>
        <v>246842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59" ht="61.5" customHeight="1">
      <c r="A33" s="178" t="s">
        <v>28</v>
      </c>
      <c r="B33" s="231" t="s">
        <v>294</v>
      </c>
      <c r="C33" s="30">
        <f>D33+E33+F33+G33</f>
        <v>218534.80000000002</v>
      </c>
      <c r="D33" s="25">
        <v>87737.8</v>
      </c>
      <c r="E33" s="25">
        <v>17340.4</v>
      </c>
      <c r="F33" s="25">
        <f>94179.5+150+8269+1200</f>
        <v>103798.5</v>
      </c>
      <c r="G33" s="25">
        <f>G34</f>
        <v>9658.1</v>
      </c>
      <c r="H33" s="25">
        <f>8100</f>
        <v>8100</v>
      </c>
      <c r="I33" s="25"/>
      <c r="J33" s="25"/>
      <c r="K33" s="202">
        <f t="shared" si="0"/>
        <v>226634.80000000002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ht="27">
      <c r="A34" s="230"/>
      <c r="B34" s="24" t="s">
        <v>316</v>
      </c>
      <c r="C34" s="134">
        <f>D34+E34+F34+G34</f>
        <v>9658.1</v>
      </c>
      <c r="D34" s="25"/>
      <c r="E34" s="25"/>
      <c r="F34" s="25"/>
      <c r="G34" s="25">
        <f>9687.9-37+7.2</f>
        <v>9658.1</v>
      </c>
      <c r="H34" s="25"/>
      <c r="I34" s="25"/>
      <c r="J34" s="25"/>
      <c r="K34" s="202">
        <f t="shared" si="0"/>
        <v>9658.1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ht="13.5">
      <c r="A35" s="178"/>
      <c r="B35" s="232" t="s">
        <v>317</v>
      </c>
      <c r="C35" s="30">
        <f>D35+E35+F35</f>
        <v>8269</v>
      </c>
      <c r="D35" s="25"/>
      <c r="E35" s="25"/>
      <c r="F35" s="25">
        <f>7269+1000</f>
        <v>8269</v>
      </c>
      <c r="G35" s="25"/>
      <c r="H35" s="25"/>
      <c r="I35" s="25"/>
      <c r="J35" s="25"/>
      <c r="K35" s="202">
        <f t="shared" si="0"/>
        <v>8269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ht="54">
      <c r="A36" s="178" t="s">
        <v>26</v>
      </c>
      <c r="B36" s="41" t="s">
        <v>233</v>
      </c>
      <c r="C36" s="30">
        <f>D36+E36+F36</f>
        <v>5902.299999999999</v>
      </c>
      <c r="D36" s="25">
        <v>2564.5</v>
      </c>
      <c r="E36" s="25">
        <v>411.7</v>
      </c>
      <c r="F36" s="25">
        <v>2926.1</v>
      </c>
      <c r="G36" s="25"/>
      <c r="H36" s="25">
        <f>2903.6+64.8</f>
        <v>2968.4</v>
      </c>
      <c r="I36" s="25"/>
      <c r="J36" s="25"/>
      <c r="K36" s="202">
        <f t="shared" si="0"/>
        <v>8870.699999999999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ht="13.5">
      <c r="A37" s="178">
        <v>110201</v>
      </c>
      <c r="B37" s="41" t="s">
        <v>78</v>
      </c>
      <c r="C37" s="30">
        <f>D37+E37+F37</f>
        <v>371.59999999999997</v>
      </c>
      <c r="D37" s="25">
        <v>97.1</v>
      </c>
      <c r="E37" s="25">
        <v>11.8</v>
      </c>
      <c r="F37" s="25">
        <v>262.7</v>
      </c>
      <c r="G37" s="25"/>
      <c r="H37" s="25"/>
      <c r="I37" s="25"/>
      <c r="J37" s="25"/>
      <c r="K37" s="202">
        <f t="shared" si="0"/>
        <v>371.59999999999997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13" s="21" customFormat="1" ht="55.5" customHeight="1">
      <c r="A38" s="182" t="s">
        <v>280</v>
      </c>
      <c r="B38" s="113" t="s">
        <v>298</v>
      </c>
      <c r="C38" s="30">
        <f>D38+E38+F38</f>
        <v>0</v>
      </c>
      <c r="D38" s="30"/>
      <c r="E38" s="30"/>
      <c r="F38" s="30"/>
      <c r="G38" s="30"/>
      <c r="H38" s="30">
        <f>I38</f>
        <v>10000</v>
      </c>
      <c r="I38" s="30">
        <v>10000</v>
      </c>
      <c r="J38" s="30"/>
      <c r="K38" s="202">
        <f t="shared" si="0"/>
        <v>10000</v>
      </c>
      <c r="L38" s="28"/>
      <c r="M38" s="29"/>
    </row>
    <row r="39" spans="1:13" s="21" customFormat="1" ht="13.5">
      <c r="A39" s="182" t="s">
        <v>332</v>
      </c>
      <c r="B39" s="20" t="s">
        <v>333</v>
      </c>
      <c r="C39" s="30">
        <f>D39+E39+F39</f>
        <v>0</v>
      </c>
      <c r="D39" s="30"/>
      <c r="E39" s="30"/>
      <c r="F39" s="30"/>
      <c r="G39" s="30"/>
      <c r="H39" s="30">
        <f>I39</f>
        <v>964.9</v>
      </c>
      <c r="I39" s="30">
        <f>900+64.9</f>
        <v>964.9</v>
      </c>
      <c r="J39" s="30"/>
      <c r="K39" s="202">
        <f t="shared" si="0"/>
        <v>964.9</v>
      </c>
      <c r="L39" s="28"/>
      <c r="M39" s="29"/>
    </row>
    <row r="40" spans="1:59" s="21" customFormat="1" ht="25.5">
      <c r="A40" s="180"/>
      <c r="B40" s="102" t="s">
        <v>79</v>
      </c>
      <c r="C40" s="77">
        <f>C41+C42+C43+C44+C46+C47+C48+C49+C50+C51</f>
        <v>44802.899999999994</v>
      </c>
      <c r="D40" s="77">
        <f aca="true" t="shared" si="3" ref="D40:I40">D41+D42+D43+D44+D46+D47+D48+D49+D50+D51</f>
        <v>13318.4</v>
      </c>
      <c r="E40" s="77">
        <f t="shared" si="3"/>
        <v>4522.9</v>
      </c>
      <c r="F40" s="77">
        <f t="shared" si="3"/>
        <v>26956.7</v>
      </c>
      <c r="G40" s="77">
        <f t="shared" si="3"/>
        <v>4.9</v>
      </c>
      <c r="H40" s="77">
        <f t="shared" si="3"/>
        <v>6743.9</v>
      </c>
      <c r="I40" s="77">
        <f t="shared" si="3"/>
        <v>0</v>
      </c>
      <c r="J40" s="77"/>
      <c r="K40" s="203">
        <f>C40+H40</f>
        <v>51546.799999999996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1:59" ht="13.5" customHeight="1">
      <c r="A41" s="178" t="s">
        <v>32</v>
      </c>
      <c r="B41" s="24" t="s">
        <v>33</v>
      </c>
      <c r="C41" s="30">
        <f>D41+E41+F41</f>
        <v>9.6</v>
      </c>
      <c r="D41" s="25"/>
      <c r="E41" s="25"/>
      <c r="F41" s="25">
        <v>9.6</v>
      </c>
      <c r="G41" s="25"/>
      <c r="H41" s="25"/>
      <c r="I41" s="25"/>
      <c r="J41" s="25"/>
      <c r="K41" s="202">
        <f t="shared" si="0"/>
        <v>9.6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1:59" ht="27">
      <c r="A42" s="178" t="s">
        <v>283</v>
      </c>
      <c r="B42" s="20" t="s">
        <v>284</v>
      </c>
      <c r="C42" s="30">
        <f>D42+E42+F42</f>
        <v>7624.2</v>
      </c>
      <c r="D42" s="25">
        <v>2746.1</v>
      </c>
      <c r="E42" s="25">
        <v>657.8</v>
      </c>
      <c r="F42" s="25">
        <v>4220.3</v>
      </c>
      <c r="G42" s="25"/>
      <c r="H42" s="25">
        <v>435.4</v>
      </c>
      <c r="I42" s="25"/>
      <c r="J42" s="25"/>
      <c r="K42" s="202">
        <f t="shared" si="0"/>
        <v>8059.599999999999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40.5">
      <c r="A43" s="178" t="s">
        <v>285</v>
      </c>
      <c r="B43" s="20" t="s">
        <v>286</v>
      </c>
      <c r="C43" s="30">
        <f>D43+E43+F43</f>
        <v>32834.399999999994</v>
      </c>
      <c r="D43" s="25">
        <v>9812.9</v>
      </c>
      <c r="E43" s="25">
        <v>3796.7</v>
      </c>
      <c r="F43" s="25">
        <v>19224.8</v>
      </c>
      <c r="G43" s="25"/>
      <c r="H43" s="25">
        <v>5906.5</v>
      </c>
      <c r="I43" s="25"/>
      <c r="J43" s="25"/>
      <c r="K43" s="202">
        <f t="shared" si="0"/>
        <v>38740.899999999994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27">
      <c r="A44" s="178" t="s">
        <v>34</v>
      </c>
      <c r="B44" s="24" t="s">
        <v>35</v>
      </c>
      <c r="C44" s="30">
        <f>D44+E44+F44+G44</f>
        <v>787.9</v>
      </c>
      <c r="D44" s="25"/>
      <c r="E44" s="25"/>
      <c r="F44" s="25">
        <f>50+720+13</f>
        <v>783</v>
      </c>
      <c r="G44" s="25">
        <v>4.9</v>
      </c>
      <c r="H44" s="25">
        <v>205</v>
      </c>
      <c r="I44" s="25"/>
      <c r="J44" s="25"/>
      <c r="K44" s="202">
        <f t="shared" si="0"/>
        <v>992.9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69">
      <c r="A45" s="178"/>
      <c r="B45" s="191" t="s">
        <v>80</v>
      </c>
      <c r="C45" s="30">
        <v>720</v>
      </c>
      <c r="D45" s="25"/>
      <c r="E45" s="25"/>
      <c r="F45" s="25">
        <v>720</v>
      </c>
      <c r="G45" s="25"/>
      <c r="H45" s="25"/>
      <c r="I45" s="25"/>
      <c r="J45" s="25"/>
      <c r="K45" s="202">
        <f t="shared" si="0"/>
        <v>720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40.5">
      <c r="A46" s="178" t="s">
        <v>36</v>
      </c>
      <c r="B46" s="24" t="s">
        <v>81</v>
      </c>
      <c r="C46" s="30">
        <f aca="true" t="shared" si="4" ref="C46:C64">D46+E46+F46</f>
        <v>1012.4000000000001</v>
      </c>
      <c r="D46" s="25"/>
      <c r="E46" s="25"/>
      <c r="F46" s="25">
        <f>518.7+493.7</f>
        <v>1012.4000000000001</v>
      </c>
      <c r="G46" s="25"/>
      <c r="H46" s="25"/>
      <c r="I46" s="25"/>
      <c r="J46" s="25"/>
      <c r="K46" s="202">
        <f t="shared" si="0"/>
        <v>1012.4000000000001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77.25" customHeight="1">
      <c r="A47" s="178" t="s">
        <v>38</v>
      </c>
      <c r="B47" s="24" t="s">
        <v>211</v>
      </c>
      <c r="C47" s="30">
        <f t="shared" si="4"/>
        <v>500</v>
      </c>
      <c r="D47" s="25"/>
      <c r="E47" s="25"/>
      <c r="F47" s="25">
        <v>500</v>
      </c>
      <c r="G47" s="25"/>
      <c r="H47" s="25"/>
      <c r="I47" s="25"/>
      <c r="J47" s="25"/>
      <c r="K47" s="202">
        <f t="shared" si="0"/>
        <v>500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1:59" ht="27">
      <c r="A48" s="178" t="s">
        <v>39</v>
      </c>
      <c r="B48" s="41" t="s">
        <v>40</v>
      </c>
      <c r="C48" s="30">
        <f t="shared" si="4"/>
        <v>50.1</v>
      </c>
      <c r="D48" s="25"/>
      <c r="E48" s="25"/>
      <c r="F48" s="25">
        <v>50.1</v>
      </c>
      <c r="G48" s="25"/>
      <c r="H48" s="25"/>
      <c r="I48" s="25"/>
      <c r="J48" s="25"/>
      <c r="K48" s="202">
        <f t="shared" si="0"/>
        <v>50.1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1:59" ht="27">
      <c r="A49" s="178" t="s">
        <v>290</v>
      </c>
      <c r="B49" s="20" t="s">
        <v>291</v>
      </c>
      <c r="C49" s="30">
        <f t="shared" si="4"/>
        <v>12.1</v>
      </c>
      <c r="D49" s="25">
        <v>8.6</v>
      </c>
      <c r="E49" s="25"/>
      <c r="F49" s="25">
        <v>3.5</v>
      </c>
      <c r="G49" s="25"/>
      <c r="H49" s="25"/>
      <c r="I49" s="25"/>
      <c r="J49" s="25"/>
      <c r="K49" s="202">
        <f t="shared" si="0"/>
        <v>12.1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1:59" ht="30" customHeight="1">
      <c r="A50" s="178" t="s">
        <v>41</v>
      </c>
      <c r="B50" s="24" t="s">
        <v>293</v>
      </c>
      <c r="C50" s="30">
        <f t="shared" si="4"/>
        <v>1972.1999999999998</v>
      </c>
      <c r="D50" s="25">
        <v>750.8</v>
      </c>
      <c r="E50" s="25">
        <v>68.4</v>
      </c>
      <c r="F50" s="25">
        <f>1153</f>
        <v>1153</v>
      </c>
      <c r="G50" s="25"/>
      <c r="H50" s="25">
        <v>197</v>
      </c>
      <c r="I50" s="25"/>
      <c r="J50" s="25"/>
      <c r="K50" s="202">
        <f t="shared" si="0"/>
        <v>2169.2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13.5" hidden="1">
      <c r="A51" s="178" t="s">
        <v>281</v>
      </c>
      <c r="B51" s="235"/>
      <c r="C51" s="30">
        <f t="shared" si="4"/>
        <v>0</v>
      </c>
      <c r="D51" s="30"/>
      <c r="E51" s="30"/>
      <c r="F51" s="30"/>
      <c r="G51" s="30"/>
      <c r="H51" s="30"/>
      <c r="I51" s="30"/>
      <c r="J51" s="30"/>
      <c r="K51" s="202">
        <f>C51+H51</f>
        <v>0</v>
      </c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</row>
    <row r="52" spans="1:59" ht="25.5">
      <c r="A52" s="180"/>
      <c r="B52" s="103" t="s">
        <v>82</v>
      </c>
      <c r="C52" s="77">
        <f>C53</f>
        <v>6148.7</v>
      </c>
      <c r="D52" s="77">
        <f aca="true" t="shared" si="5" ref="D52:J52">D53</f>
        <v>2096.7</v>
      </c>
      <c r="E52" s="77">
        <f t="shared" si="5"/>
        <v>669</v>
      </c>
      <c r="F52" s="77">
        <f t="shared" si="5"/>
        <v>3383</v>
      </c>
      <c r="G52" s="77">
        <f t="shared" si="5"/>
        <v>0</v>
      </c>
      <c r="H52" s="77">
        <f t="shared" si="5"/>
        <v>13.2</v>
      </c>
      <c r="I52" s="77">
        <f t="shared" si="5"/>
        <v>0</v>
      </c>
      <c r="J52" s="77">
        <f t="shared" si="5"/>
        <v>0</v>
      </c>
      <c r="K52" s="203">
        <f t="shared" si="0"/>
        <v>6161.9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13.5">
      <c r="A53" s="178" t="s">
        <v>42</v>
      </c>
      <c r="B53" s="41" t="s">
        <v>43</v>
      </c>
      <c r="C53" s="30">
        <f t="shared" si="4"/>
        <v>6148.7</v>
      </c>
      <c r="D53" s="25">
        <v>2096.7</v>
      </c>
      <c r="E53" s="25">
        <v>669</v>
      </c>
      <c r="F53" s="25">
        <v>3383</v>
      </c>
      <c r="G53" s="25"/>
      <c r="H53" s="25">
        <v>13.2</v>
      </c>
      <c r="I53" s="25"/>
      <c r="J53" s="25"/>
      <c r="K53" s="202">
        <f t="shared" si="0"/>
        <v>6161.9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11" ht="25.5">
      <c r="A54" s="180"/>
      <c r="B54" s="103" t="s">
        <v>301</v>
      </c>
      <c r="C54" s="77">
        <f>D54+E54+F54+G54</f>
        <v>5252.5</v>
      </c>
      <c r="D54" s="77">
        <f aca="true" t="shared" si="6" ref="D54:I54">D55+D56+D57+D58+D59+D60+D61+D62+D63+D64</f>
        <v>315.6</v>
      </c>
      <c r="E54" s="77">
        <f t="shared" si="6"/>
        <v>48.1</v>
      </c>
      <c r="F54" s="77">
        <f t="shared" si="6"/>
        <v>3001.4</v>
      </c>
      <c r="G54" s="77">
        <f t="shared" si="6"/>
        <v>1887.4</v>
      </c>
      <c r="H54" s="77">
        <f t="shared" si="6"/>
        <v>0</v>
      </c>
      <c r="I54" s="77">
        <f t="shared" si="6"/>
        <v>0</v>
      </c>
      <c r="J54" s="27"/>
      <c r="K54" s="203">
        <f t="shared" si="0"/>
        <v>5252.5</v>
      </c>
    </row>
    <row r="55" spans="1:59" ht="54">
      <c r="A55" s="178" t="s">
        <v>227</v>
      </c>
      <c r="B55" s="41" t="s">
        <v>228</v>
      </c>
      <c r="C55" s="30">
        <f>D55+E55+F55+G55</f>
        <v>3737.4</v>
      </c>
      <c r="D55" s="30"/>
      <c r="E55" s="30"/>
      <c r="F55" s="30">
        <f>250+1600</f>
        <v>1850</v>
      </c>
      <c r="G55" s="25">
        <f>1807.4+80</f>
        <v>1887.4</v>
      </c>
      <c r="H55" s="25"/>
      <c r="I55" s="25"/>
      <c r="J55" s="25"/>
      <c r="K55" s="202">
        <f t="shared" si="0"/>
        <v>3737.4</v>
      </c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</row>
    <row r="56" spans="1:59" ht="27">
      <c r="A56" s="178" t="s">
        <v>261</v>
      </c>
      <c r="B56" s="20" t="s">
        <v>262</v>
      </c>
      <c r="C56" s="30">
        <f t="shared" si="4"/>
        <v>281.9</v>
      </c>
      <c r="D56" s="30">
        <v>155.7</v>
      </c>
      <c r="E56" s="30">
        <v>11</v>
      </c>
      <c r="F56" s="30">
        <v>115.2</v>
      </c>
      <c r="G56" s="25"/>
      <c r="H56" s="25"/>
      <c r="I56" s="25"/>
      <c r="J56" s="25"/>
      <c r="K56" s="202">
        <f t="shared" si="0"/>
        <v>281.9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</row>
    <row r="57" spans="1:59" ht="27">
      <c r="A57" s="178" t="s">
        <v>263</v>
      </c>
      <c r="B57" s="20" t="s">
        <v>287</v>
      </c>
      <c r="C57" s="30">
        <f t="shared" si="4"/>
        <v>152.7</v>
      </c>
      <c r="D57" s="30"/>
      <c r="E57" s="30"/>
      <c r="F57" s="30">
        <v>152.7</v>
      </c>
      <c r="G57" s="25"/>
      <c r="H57" s="25"/>
      <c r="I57" s="25"/>
      <c r="J57" s="25"/>
      <c r="K57" s="202">
        <f t="shared" si="0"/>
        <v>152.7</v>
      </c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</row>
    <row r="58" spans="1:59" ht="40.5">
      <c r="A58" s="178" t="s">
        <v>264</v>
      </c>
      <c r="B58" s="20" t="s">
        <v>266</v>
      </c>
      <c r="C58" s="30">
        <f t="shared" si="4"/>
        <v>374.1</v>
      </c>
      <c r="D58" s="30"/>
      <c r="E58" s="30"/>
      <c r="F58" s="30">
        <v>374.1</v>
      </c>
      <c r="G58" s="25"/>
      <c r="H58" s="25"/>
      <c r="I58" s="25"/>
      <c r="J58" s="25"/>
      <c r="K58" s="202">
        <f t="shared" si="0"/>
        <v>374.1</v>
      </c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</row>
    <row r="59" spans="1:59" ht="40.5">
      <c r="A59" s="178" t="s">
        <v>265</v>
      </c>
      <c r="B59" s="20" t="s">
        <v>289</v>
      </c>
      <c r="C59" s="30">
        <f t="shared" si="4"/>
        <v>30</v>
      </c>
      <c r="D59" s="30"/>
      <c r="E59" s="30"/>
      <c r="F59" s="30">
        <v>30</v>
      </c>
      <c r="G59" s="25"/>
      <c r="H59" s="25"/>
      <c r="I59" s="25"/>
      <c r="J59" s="25"/>
      <c r="K59" s="202">
        <f t="shared" si="0"/>
        <v>30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</row>
    <row r="60" spans="1:59" ht="27">
      <c r="A60" s="178" t="s">
        <v>267</v>
      </c>
      <c r="B60" s="20" t="s">
        <v>268</v>
      </c>
      <c r="C60" s="30">
        <f t="shared" si="4"/>
        <v>420.9</v>
      </c>
      <c r="D60" s="30">
        <f>105.2</f>
        <v>105.2</v>
      </c>
      <c r="E60" s="30">
        <f>14+2</f>
        <v>16</v>
      </c>
      <c r="F60" s="30">
        <f>301.7-2</f>
        <v>299.7</v>
      </c>
      <c r="G60" s="25"/>
      <c r="H60" s="25"/>
      <c r="I60" s="25"/>
      <c r="J60" s="25"/>
      <c r="K60" s="202">
        <f t="shared" si="0"/>
        <v>420.9</v>
      </c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</row>
    <row r="61" spans="1:59" ht="13.5">
      <c r="A61" s="178" t="s">
        <v>269</v>
      </c>
      <c r="B61" s="20" t="s">
        <v>270</v>
      </c>
      <c r="C61" s="30">
        <f t="shared" si="4"/>
        <v>150</v>
      </c>
      <c r="D61" s="30">
        <v>38.1</v>
      </c>
      <c r="E61" s="30">
        <v>21.1</v>
      </c>
      <c r="F61" s="30">
        <f>150-59.2</f>
        <v>90.8</v>
      </c>
      <c r="G61" s="25"/>
      <c r="H61" s="25"/>
      <c r="I61" s="25"/>
      <c r="J61" s="25"/>
      <c r="K61" s="202">
        <f t="shared" si="0"/>
        <v>150</v>
      </c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</row>
    <row r="62" spans="1:59" ht="27">
      <c r="A62" s="178" t="s">
        <v>271</v>
      </c>
      <c r="B62" s="20" t="s">
        <v>272</v>
      </c>
      <c r="C62" s="30">
        <f t="shared" si="4"/>
        <v>40</v>
      </c>
      <c r="D62" s="30"/>
      <c r="E62" s="30"/>
      <c r="F62" s="30">
        <v>40</v>
      </c>
      <c r="G62" s="25"/>
      <c r="H62" s="25"/>
      <c r="I62" s="25"/>
      <c r="J62" s="25"/>
      <c r="K62" s="202">
        <f t="shared" si="0"/>
        <v>40</v>
      </c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</row>
    <row r="63" spans="1:59" ht="13.5">
      <c r="A63" s="178" t="s">
        <v>273</v>
      </c>
      <c r="B63" s="20" t="s">
        <v>274</v>
      </c>
      <c r="C63" s="30">
        <f t="shared" si="4"/>
        <v>25.5</v>
      </c>
      <c r="D63" s="30">
        <v>16.6</v>
      </c>
      <c r="E63" s="30"/>
      <c r="F63" s="30">
        <v>8.9</v>
      </c>
      <c r="G63" s="25"/>
      <c r="H63" s="25"/>
      <c r="I63" s="25"/>
      <c r="J63" s="25"/>
      <c r="K63" s="202">
        <f t="shared" si="0"/>
        <v>25.5</v>
      </c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</row>
    <row r="64" spans="1:59" ht="27">
      <c r="A64" s="178" t="s">
        <v>254</v>
      </c>
      <c r="B64" s="41" t="s">
        <v>255</v>
      </c>
      <c r="C64" s="30">
        <f t="shared" si="4"/>
        <v>40</v>
      </c>
      <c r="D64" s="25"/>
      <c r="E64" s="25"/>
      <c r="F64" s="25">
        <v>40</v>
      </c>
      <c r="G64" s="25"/>
      <c r="H64" s="25"/>
      <c r="I64" s="25"/>
      <c r="J64" s="25"/>
      <c r="K64" s="202">
        <f t="shared" si="0"/>
        <v>40</v>
      </c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</row>
    <row r="65" spans="1:59" s="21" customFormat="1" ht="29.25" customHeight="1">
      <c r="A65" s="180"/>
      <c r="B65" s="103" t="s">
        <v>83</v>
      </c>
      <c r="C65" s="77">
        <f>D65+E65+F65+G65</f>
        <v>17772.2</v>
      </c>
      <c r="D65" s="27"/>
      <c r="E65" s="27"/>
      <c r="F65" s="27">
        <v>10000</v>
      </c>
      <c r="G65" s="27">
        <f>8537.5-765.3</f>
        <v>7772.2</v>
      </c>
      <c r="H65" s="27"/>
      <c r="I65" s="27"/>
      <c r="J65" s="27"/>
      <c r="K65" s="203">
        <f t="shared" si="0"/>
        <v>17772.2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</row>
    <row r="66" spans="1:12" ht="24.75" customHeight="1">
      <c r="A66" s="178"/>
      <c r="B66" s="103" t="s">
        <v>257</v>
      </c>
      <c r="C66" s="77">
        <f>C69+C70+C72+C73+C74+C67+C68</f>
        <v>38503</v>
      </c>
      <c r="D66" s="77">
        <f aca="true" t="shared" si="7" ref="D66:I66">D69+D70+D72+D73+D74+D67+D68</f>
        <v>6755.9</v>
      </c>
      <c r="E66" s="77">
        <f t="shared" si="7"/>
        <v>1035.1</v>
      </c>
      <c r="F66" s="77">
        <f t="shared" si="7"/>
        <v>28156</v>
      </c>
      <c r="G66" s="77">
        <f t="shared" si="7"/>
        <v>2556</v>
      </c>
      <c r="H66" s="77">
        <f t="shared" si="7"/>
        <v>731.6</v>
      </c>
      <c r="I66" s="77">
        <f t="shared" si="7"/>
        <v>0</v>
      </c>
      <c r="J66" s="27"/>
      <c r="K66" s="203">
        <f t="shared" si="0"/>
        <v>39234.6</v>
      </c>
      <c r="L66" s="42"/>
    </row>
    <row r="67" spans="1:59" ht="13.5">
      <c r="A67" s="178" t="s">
        <v>249</v>
      </c>
      <c r="B67" s="20" t="s">
        <v>251</v>
      </c>
      <c r="C67" s="30">
        <f>D67+E67+F67+G67</f>
        <v>16916.9</v>
      </c>
      <c r="D67" s="30"/>
      <c r="E67" s="30"/>
      <c r="F67" s="30">
        <v>14416.9</v>
      </c>
      <c r="G67" s="30">
        <f>2000+500</f>
        <v>2500</v>
      </c>
      <c r="H67" s="30"/>
      <c r="I67" s="30"/>
      <c r="J67" s="25"/>
      <c r="K67" s="202">
        <f t="shared" si="0"/>
        <v>16916.9</v>
      </c>
      <c r="L67" s="158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</row>
    <row r="68" spans="1:59" ht="24.75" customHeight="1">
      <c r="A68" s="178" t="s">
        <v>250</v>
      </c>
      <c r="B68" s="20" t="s">
        <v>252</v>
      </c>
      <c r="C68" s="30">
        <f>D68+E68+F68+G68</f>
        <v>6792</v>
      </c>
      <c r="D68" s="30"/>
      <c r="E68" s="30"/>
      <c r="F68" s="30">
        <v>6736</v>
      </c>
      <c r="G68" s="30">
        <v>56</v>
      </c>
      <c r="H68" s="30"/>
      <c r="I68" s="30"/>
      <c r="J68" s="25"/>
      <c r="K68" s="202">
        <f t="shared" si="0"/>
        <v>6792</v>
      </c>
      <c r="L68" s="158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</row>
    <row r="69" spans="1:59" ht="40.5">
      <c r="A69" s="178" t="s">
        <v>84</v>
      </c>
      <c r="B69" s="41" t="s">
        <v>235</v>
      </c>
      <c r="C69" s="30">
        <f aca="true" t="shared" si="8" ref="C69:C74">D69+E69+F69</f>
        <v>5709.5</v>
      </c>
      <c r="D69" s="25">
        <v>1606.4</v>
      </c>
      <c r="E69" s="25">
        <v>406.4</v>
      </c>
      <c r="F69" s="25">
        <f>3196.7+500</f>
        <v>3696.7</v>
      </c>
      <c r="G69" s="25"/>
      <c r="H69" s="25">
        <v>465</v>
      </c>
      <c r="I69" s="25"/>
      <c r="J69" s="25"/>
      <c r="K69" s="202">
        <f t="shared" si="0"/>
        <v>6174.5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</row>
    <row r="70" spans="1:59" ht="54.75" customHeight="1">
      <c r="A70" s="182" t="s">
        <v>26</v>
      </c>
      <c r="B70" s="192" t="s">
        <v>229</v>
      </c>
      <c r="C70" s="30">
        <f t="shared" si="8"/>
        <v>8564.1</v>
      </c>
      <c r="D70" s="25">
        <v>5149.5</v>
      </c>
      <c r="E70" s="25">
        <v>628.7</v>
      </c>
      <c r="F70" s="25">
        <v>2785.9</v>
      </c>
      <c r="G70" s="25"/>
      <c r="H70" s="25">
        <v>266.6</v>
      </c>
      <c r="I70" s="25"/>
      <c r="J70" s="25"/>
      <c r="K70" s="202">
        <f t="shared" si="0"/>
        <v>8830.7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ht="27">
      <c r="A71" s="182"/>
      <c r="B71" s="192" t="s">
        <v>230</v>
      </c>
      <c r="C71" s="30">
        <f t="shared" si="8"/>
        <v>12.2</v>
      </c>
      <c r="D71" s="25"/>
      <c r="E71" s="25"/>
      <c r="F71" s="25">
        <v>12.2</v>
      </c>
      <c r="G71" s="25"/>
      <c r="H71" s="25"/>
      <c r="I71" s="25"/>
      <c r="J71" s="25"/>
      <c r="K71" s="202">
        <f t="shared" si="0"/>
        <v>12.2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:59" ht="27">
      <c r="A72" s="178">
        <v>110300</v>
      </c>
      <c r="B72" s="41" t="s">
        <v>85</v>
      </c>
      <c r="C72" s="30">
        <f t="shared" si="8"/>
        <v>200</v>
      </c>
      <c r="D72" s="25"/>
      <c r="E72" s="25"/>
      <c r="F72" s="25">
        <v>200</v>
      </c>
      <c r="G72" s="25"/>
      <c r="H72" s="25"/>
      <c r="I72" s="25"/>
      <c r="J72" s="25"/>
      <c r="K72" s="202">
        <f t="shared" si="0"/>
        <v>200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27">
      <c r="A73" s="178">
        <v>120300</v>
      </c>
      <c r="B73" s="41" t="s">
        <v>86</v>
      </c>
      <c r="C73" s="30">
        <f t="shared" si="8"/>
        <v>65.9</v>
      </c>
      <c r="D73" s="25"/>
      <c r="E73" s="25"/>
      <c r="F73" s="25">
        <v>65.9</v>
      </c>
      <c r="G73" s="25"/>
      <c r="H73" s="25"/>
      <c r="I73" s="25"/>
      <c r="J73" s="25"/>
      <c r="K73" s="202">
        <f t="shared" si="0"/>
        <v>65.9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ht="27" customHeight="1">
      <c r="A74" s="178">
        <v>120300</v>
      </c>
      <c r="B74" s="41" t="s">
        <v>87</v>
      </c>
      <c r="C74" s="30">
        <f t="shared" si="8"/>
        <v>254.6</v>
      </c>
      <c r="D74" s="25"/>
      <c r="E74" s="25"/>
      <c r="F74" s="25">
        <v>254.6</v>
      </c>
      <c r="G74" s="25"/>
      <c r="H74" s="25"/>
      <c r="I74" s="25"/>
      <c r="J74" s="25"/>
      <c r="K74" s="202">
        <f>C74+H74</f>
        <v>254.6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59" s="21" customFormat="1" ht="25.5">
      <c r="A75" s="180"/>
      <c r="B75" s="103" t="s">
        <v>88</v>
      </c>
      <c r="C75" s="77">
        <f>C76+C77+C79+C78</f>
        <v>5578.8</v>
      </c>
      <c r="D75" s="77">
        <f>D76+D77+D79++D78</f>
        <v>0</v>
      </c>
      <c r="E75" s="77">
        <f>E76+E77+E79++E78</f>
        <v>0</v>
      </c>
      <c r="F75" s="77">
        <f>F76+F77+F79++F78</f>
        <v>4377.8</v>
      </c>
      <c r="G75" s="27">
        <f>G77</f>
        <v>1201</v>
      </c>
      <c r="H75" s="27"/>
      <c r="I75" s="27"/>
      <c r="J75" s="27"/>
      <c r="K75" s="203">
        <f t="shared" si="0"/>
        <v>5578.8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59" ht="27">
      <c r="A76" s="182">
        <v>180109</v>
      </c>
      <c r="B76" s="20" t="s">
        <v>54</v>
      </c>
      <c r="C76" s="30">
        <f>D76+E76+F76</f>
        <v>400</v>
      </c>
      <c r="D76" s="193"/>
      <c r="E76" s="193"/>
      <c r="F76" s="194">
        <v>400</v>
      </c>
      <c r="G76" s="25"/>
      <c r="H76" s="25"/>
      <c r="I76" s="25"/>
      <c r="J76" s="25"/>
      <c r="K76" s="202">
        <f t="shared" si="0"/>
        <v>400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16.5" customHeight="1">
      <c r="A77" s="178" t="s">
        <v>218</v>
      </c>
      <c r="B77" s="192" t="s">
        <v>47</v>
      </c>
      <c r="C77" s="30">
        <f>D77+E77+F77+G77</f>
        <v>4378</v>
      </c>
      <c r="D77" s="25"/>
      <c r="E77" s="25"/>
      <c r="F77" s="25">
        <f>4200-623-400</f>
        <v>3177</v>
      </c>
      <c r="G77" s="25">
        <v>1201</v>
      </c>
      <c r="H77" s="25"/>
      <c r="I77" s="25"/>
      <c r="J77" s="25"/>
      <c r="K77" s="202">
        <f t="shared" si="0"/>
        <v>4378</v>
      </c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3.5" customHeight="1">
      <c r="A78" s="182">
        <v>120300</v>
      </c>
      <c r="B78" s="20" t="s">
        <v>48</v>
      </c>
      <c r="C78" s="30">
        <f>D78+E78+F78</f>
        <v>623</v>
      </c>
      <c r="D78" s="25"/>
      <c r="E78" s="25"/>
      <c r="F78" s="25">
        <v>623</v>
      </c>
      <c r="G78" s="25"/>
      <c r="H78" s="25"/>
      <c r="I78" s="25"/>
      <c r="J78" s="25"/>
      <c r="K78" s="202">
        <f t="shared" si="0"/>
        <v>623</v>
      </c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27">
      <c r="A79" s="178">
        <v>120300</v>
      </c>
      <c r="B79" s="41" t="s">
        <v>89</v>
      </c>
      <c r="C79" s="30">
        <f>D79+E79+F79</f>
        <v>177.8</v>
      </c>
      <c r="D79" s="25"/>
      <c r="E79" s="25"/>
      <c r="F79" s="25">
        <v>177.8</v>
      </c>
      <c r="G79" s="25"/>
      <c r="H79" s="25"/>
      <c r="I79" s="25"/>
      <c r="J79" s="25"/>
      <c r="K79" s="202">
        <f t="shared" si="0"/>
        <v>177.8</v>
      </c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s="21" customFormat="1" ht="25.5">
      <c r="A80" s="129"/>
      <c r="B80" s="103" t="s">
        <v>90</v>
      </c>
      <c r="C80" s="77">
        <f aca="true" t="shared" si="9" ref="C80:H80">C81+C82+C83</f>
        <v>19547.1</v>
      </c>
      <c r="D80" s="77">
        <f t="shared" si="9"/>
        <v>2467.7</v>
      </c>
      <c r="E80" s="77">
        <f t="shared" si="9"/>
        <v>166.5</v>
      </c>
      <c r="F80" s="77">
        <f t="shared" si="9"/>
        <v>16873.899999999998</v>
      </c>
      <c r="G80" s="77">
        <f t="shared" si="9"/>
        <v>39</v>
      </c>
      <c r="H80" s="77">
        <f t="shared" si="9"/>
        <v>3</v>
      </c>
      <c r="I80" s="27"/>
      <c r="J80" s="27"/>
      <c r="K80" s="203">
        <f>C80+H80</f>
        <v>19550.1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 ht="67.5">
      <c r="A81" s="178">
        <v>130000</v>
      </c>
      <c r="B81" s="41" t="s">
        <v>295</v>
      </c>
      <c r="C81" s="30">
        <f>D81+E81+F81+G81</f>
        <v>15629.8</v>
      </c>
      <c r="D81" s="25">
        <v>1414.6</v>
      </c>
      <c r="E81" s="25">
        <v>20.7</v>
      </c>
      <c r="F81" s="25">
        <v>14155.5</v>
      </c>
      <c r="G81" s="25">
        <v>39</v>
      </c>
      <c r="H81" s="25"/>
      <c r="I81" s="25"/>
      <c r="J81" s="25"/>
      <c r="K81" s="202">
        <f>C81+H81</f>
        <v>15629.8</v>
      </c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27">
      <c r="A82" s="178" t="s">
        <v>206</v>
      </c>
      <c r="B82" s="192" t="s">
        <v>234</v>
      </c>
      <c r="C82" s="30">
        <f>D82+E82+F82</f>
        <v>3550.2</v>
      </c>
      <c r="D82" s="25">
        <v>884.1</v>
      </c>
      <c r="E82" s="25">
        <v>129</v>
      </c>
      <c r="F82" s="25">
        <v>2537.1</v>
      </c>
      <c r="G82" s="25"/>
      <c r="H82" s="25"/>
      <c r="I82" s="25"/>
      <c r="J82" s="25"/>
      <c r="K82" s="202">
        <f t="shared" si="0"/>
        <v>3550.2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28.5" customHeight="1">
      <c r="A83" s="178" t="s">
        <v>219</v>
      </c>
      <c r="B83" s="113" t="s">
        <v>313</v>
      </c>
      <c r="C83" s="30">
        <f>D83+E83+F83</f>
        <v>367.1</v>
      </c>
      <c r="D83" s="25">
        <v>169</v>
      </c>
      <c r="E83" s="25">
        <v>16.8</v>
      </c>
      <c r="F83" s="25">
        <v>181.3</v>
      </c>
      <c r="G83" s="25"/>
      <c r="H83" s="25">
        <v>3</v>
      </c>
      <c r="I83" s="25"/>
      <c r="J83" s="25"/>
      <c r="K83" s="202">
        <f t="shared" si="0"/>
        <v>370.1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25.5">
      <c r="A84" s="178"/>
      <c r="B84" s="228" t="s">
        <v>322</v>
      </c>
      <c r="C84" s="30"/>
      <c r="D84" s="25"/>
      <c r="E84" s="25"/>
      <c r="F84" s="25"/>
      <c r="G84" s="25"/>
      <c r="H84" s="27">
        <f>H85+H86+H87+H88+H89</f>
        <v>32033.3</v>
      </c>
      <c r="I84" s="27">
        <f>I85+I86+I87+I88+I89</f>
        <v>32033.3</v>
      </c>
      <c r="J84" s="27">
        <f>J85+J86</f>
        <v>406.5</v>
      </c>
      <c r="K84" s="203">
        <f>H84</f>
        <v>32033.3</v>
      </c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3.5">
      <c r="A85" s="178" t="s">
        <v>220</v>
      </c>
      <c r="B85" s="20" t="s">
        <v>51</v>
      </c>
      <c r="C85" s="30"/>
      <c r="D85" s="25"/>
      <c r="E85" s="25"/>
      <c r="F85" s="25"/>
      <c r="G85" s="25"/>
      <c r="H85" s="25">
        <f>I85</f>
        <v>10696.5</v>
      </c>
      <c r="I85" s="25">
        <f>J85+10096.5-406.5+600</f>
        <v>10696.5</v>
      </c>
      <c r="J85" s="25">
        <v>406.5</v>
      </c>
      <c r="K85" s="202">
        <f>H85</f>
        <v>10696.5</v>
      </c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216.75">
      <c r="A86" s="178" t="s">
        <v>292</v>
      </c>
      <c r="B86" s="113" t="s">
        <v>299</v>
      </c>
      <c r="C86" s="30"/>
      <c r="D86" s="25"/>
      <c r="E86" s="25"/>
      <c r="F86" s="25"/>
      <c r="G86" s="25"/>
      <c r="H86" s="25">
        <f>I86</f>
        <v>6692.7</v>
      </c>
      <c r="I86" s="25">
        <v>6692.7</v>
      </c>
      <c r="J86" s="25"/>
      <c r="K86" s="202">
        <f>H86+C86</f>
        <v>6692.7</v>
      </c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40.5">
      <c r="A87" s="178" t="s">
        <v>277</v>
      </c>
      <c r="B87" s="113" t="s">
        <v>276</v>
      </c>
      <c r="C87" s="30">
        <v>0</v>
      </c>
      <c r="D87" s="25"/>
      <c r="E87" s="25"/>
      <c r="F87" s="25"/>
      <c r="G87" s="25"/>
      <c r="H87" s="25">
        <f>I87</f>
        <v>2840</v>
      </c>
      <c r="I87" s="25">
        <v>2840</v>
      </c>
      <c r="J87" s="25"/>
      <c r="K87" s="202">
        <f>H87+C87</f>
        <v>2840</v>
      </c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1:59" ht="13.5">
      <c r="A88" s="178" t="s">
        <v>278</v>
      </c>
      <c r="B88" s="113" t="s">
        <v>279</v>
      </c>
      <c r="C88" s="30">
        <v>0</v>
      </c>
      <c r="D88" s="25"/>
      <c r="E88" s="25"/>
      <c r="F88" s="25"/>
      <c r="G88" s="25"/>
      <c r="H88" s="25">
        <f>I88</f>
        <v>11000</v>
      </c>
      <c r="I88" s="25">
        <v>11000</v>
      </c>
      <c r="J88" s="25"/>
      <c r="K88" s="202">
        <f>H88+C88</f>
        <v>11000</v>
      </c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ht="13.5">
      <c r="A89" s="182" t="s">
        <v>332</v>
      </c>
      <c r="B89" s="20" t="s">
        <v>333</v>
      </c>
      <c r="C89" s="30">
        <v>0</v>
      </c>
      <c r="D89" s="25"/>
      <c r="E89" s="25"/>
      <c r="F89" s="25"/>
      <c r="G89" s="25"/>
      <c r="H89" s="25">
        <f>I89</f>
        <v>804.1</v>
      </c>
      <c r="I89" s="25">
        <f>750+54.1</f>
        <v>804.1</v>
      </c>
      <c r="J89" s="25"/>
      <c r="K89" s="202">
        <f>H89+C89</f>
        <v>804.1</v>
      </c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ht="25.5">
      <c r="A90" s="178"/>
      <c r="B90" s="228" t="s">
        <v>323</v>
      </c>
      <c r="C90" s="30"/>
      <c r="D90" s="25"/>
      <c r="E90" s="25"/>
      <c r="F90" s="25"/>
      <c r="G90" s="25"/>
      <c r="H90" s="25">
        <f>H91</f>
        <v>100</v>
      </c>
      <c r="I90" s="25">
        <f>I91</f>
        <v>100</v>
      </c>
      <c r="J90" s="25"/>
      <c r="K90" s="202">
        <f>K91</f>
        <v>100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3.5">
      <c r="A91" s="178" t="s">
        <v>220</v>
      </c>
      <c r="B91" s="20" t="s">
        <v>51</v>
      </c>
      <c r="C91" s="30">
        <f>D91+E91+F91</f>
        <v>0</v>
      </c>
      <c r="D91" s="25"/>
      <c r="E91" s="25"/>
      <c r="F91" s="25"/>
      <c r="G91" s="25"/>
      <c r="H91" s="25">
        <v>100</v>
      </c>
      <c r="I91" s="25">
        <f>H91</f>
        <v>100</v>
      </c>
      <c r="J91" s="25"/>
      <c r="K91" s="202">
        <f>C91+H91</f>
        <v>100</v>
      </c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s="21" customFormat="1" ht="51">
      <c r="A92" s="180"/>
      <c r="B92" s="104" t="s">
        <v>203</v>
      </c>
      <c r="C92" s="77">
        <f>C93</f>
        <v>3267</v>
      </c>
      <c r="D92" s="77">
        <f>D93</f>
        <v>0</v>
      </c>
      <c r="E92" s="77">
        <f>E93</f>
        <v>0</v>
      </c>
      <c r="F92" s="77">
        <f>F93</f>
        <v>2148.6</v>
      </c>
      <c r="G92" s="27">
        <f>G93</f>
        <v>1118.3999999999999</v>
      </c>
      <c r="H92" s="27"/>
      <c r="I92" s="27"/>
      <c r="J92" s="27"/>
      <c r="K92" s="203">
        <f t="shared" si="0"/>
        <v>3267</v>
      </c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59" ht="40.5">
      <c r="A93" s="178">
        <v>210000</v>
      </c>
      <c r="B93" s="22" t="s">
        <v>212</v>
      </c>
      <c r="C93" s="30">
        <f>D93+E93+F93+G93</f>
        <v>3267</v>
      </c>
      <c r="D93" s="25"/>
      <c r="E93" s="25"/>
      <c r="F93" s="25">
        <f>1800+198.6+150</f>
        <v>2148.6</v>
      </c>
      <c r="G93" s="25">
        <f>1110.3+8.1</f>
        <v>1118.3999999999999</v>
      </c>
      <c r="H93" s="25"/>
      <c r="I93" s="25"/>
      <c r="J93" s="25"/>
      <c r="K93" s="202">
        <f t="shared" si="0"/>
        <v>3267</v>
      </c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59" s="21" customFormat="1" ht="13.5">
      <c r="A94" s="180"/>
      <c r="B94" s="104" t="s">
        <v>91</v>
      </c>
      <c r="C94" s="77">
        <f>C95</f>
        <v>200</v>
      </c>
      <c r="D94" s="77">
        <f>D95</f>
        <v>0</v>
      </c>
      <c r="E94" s="77">
        <f>E95</f>
        <v>0</v>
      </c>
      <c r="F94" s="77">
        <v>200</v>
      </c>
      <c r="G94" s="27"/>
      <c r="H94" s="27"/>
      <c r="I94" s="27"/>
      <c r="J94" s="27"/>
      <c r="K94" s="203">
        <f t="shared" si="0"/>
        <v>200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</row>
    <row r="95" spans="1:59" s="21" customFormat="1" ht="27">
      <c r="A95" s="182">
        <v>180404</v>
      </c>
      <c r="B95" s="24" t="s">
        <v>55</v>
      </c>
      <c r="C95" s="30">
        <f>D95+E95+F95</f>
        <v>200</v>
      </c>
      <c r="D95" s="25"/>
      <c r="E95" s="25"/>
      <c r="F95" s="25">
        <v>200</v>
      </c>
      <c r="G95" s="25"/>
      <c r="H95" s="25"/>
      <c r="I95" s="25"/>
      <c r="J95" s="25"/>
      <c r="K95" s="202">
        <f t="shared" si="0"/>
        <v>200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  <row r="96" spans="1:59" s="21" customFormat="1" ht="38.25">
      <c r="A96" s="182"/>
      <c r="B96" s="101" t="s">
        <v>204</v>
      </c>
      <c r="C96" s="77">
        <f>C97</f>
        <v>390</v>
      </c>
      <c r="D96" s="77">
        <f>D97</f>
        <v>0</v>
      </c>
      <c r="E96" s="77">
        <f>E97</f>
        <v>0</v>
      </c>
      <c r="F96" s="77">
        <f>F97</f>
        <v>390</v>
      </c>
      <c r="G96" s="25"/>
      <c r="H96" s="25"/>
      <c r="I96" s="25"/>
      <c r="J96" s="25"/>
      <c r="K96" s="203">
        <f t="shared" si="0"/>
        <v>390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59" s="21" customFormat="1" ht="27">
      <c r="A97" s="178">
        <v>180109</v>
      </c>
      <c r="B97" s="24" t="s">
        <v>54</v>
      </c>
      <c r="C97" s="30">
        <f>D97+E97+F97</f>
        <v>390</v>
      </c>
      <c r="D97" s="25"/>
      <c r="E97" s="25"/>
      <c r="F97" s="25">
        <v>390</v>
      </c>
      <c r="G97" s="25"/>
      <c r="H97" s="25"/>
      <c r="I97" s="25"/>
      <c r="J97" s="25"/>
      <c r="K97" s="202">
        <f t="shared" si="0"/>
        <v>390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1:59" s="21" customFormat="1" ht="13.5">
      <c r="A98" s="180"/>
      <c r="B98" s="103" t="s">
        <v>92</v>
      </c>
      <c r="C98" s="77">
        <f>C99+C100+C101+C102+C103+C105+C106+C107+C108+C109+C110+C111+C112+C114+C115+C116+C117+C119+C118+C121+C113+C120+C122+C104</f>
        <v>636663.5000000001</v>
      </c>
      <c r="D98" s="77">
        <f>D99+D100+D101+D102+D103+D105+D106+D107+D108+D109+D110+D111+D112+D114+D115+D116+D117+D119+D118</f>
        <v>0</v>
      </c>
      <c r="E98" s="77">
        <f>E99+E100+E101+E102+E103+E105+E106+E107+E108+E109+E110+E111+E112+E114+E115+E116+E117+E119+E118</f>
        <v>0</v>
      </c>
      <c r="F98" s="77">
        <f>F99+F100+F101+F102+F103+F105+F106+F107+F108+F109+F110+F111+F112+F114+F115+F116+F117+F119+F118+F121+F113+F120+F122+F104</f>
        <v>636663.5000000001</v>
      </c>
      <c r="G98" s="77">
        <f>G99+G100+G101+G102+G103+G105+G106+G107+G108+G109+G110+G111+G112+G114+G115+G116+G117+G119+G118</f>
        <v>0</v>
      </c>
      <c r="H98" s="77">
        <f>H99+H100+H101+H102+H103+H105+H106+H107+H108+H109+H110+H111+H112+H114+H115+H116+H117+H119+H118</f>
        <v>78113.2</v>
      </c>
      <c r="I98" s="77">
        <f>I99+I100+I101+I102+I103+I105+I106+I107+I108+I109+I110+I111+I112+I114+I115+I116+I117+I119+I118</f>
        <v>1010</v>
      </c>
      <c r="J98" s="77"/>
      <c r="K98" s="203">
        <f>C98+H98</f>
        <v>714776.7000000001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</row>
    <row r="99" spans="1:59" ht="13.5">
      <c r="A99" s="178" t="s">
        <v>220</v>
      </c>
      <c r="B99" s="20" t="s">
        <v>51</v>
      </c>
      <c r="C99" s="30">
        <f aca="true" t="shared" si="10" ref="C99:C122">D99+E99+F99</f>
        <v>0</v>
      </c>
      <c r="D99" s="25"/>
      <c r="E99" s="25"/>
      <c r="F99" s="25"/>
      <c r="G99" s="25"/>
      <c r="H99" s="25">
        <f>12000+900+1000-2000-500-9120-670-600</f>
        <v>1010</v>
      </c>
      <c r="I99" s="25">
        <f>H99</f>
        <v>1010</v>
      </c>
      <c r="J99" s="25"/>
      <c r="K99" s="202">
        <f t="shared" si="0"/>
        <v>1010</v>
      </c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</row>
    <row r="100" spans="1:59" ht="216.75" hidden="1">
      <c r="A100" s="178" t="s">
        <v>292</v>
      </c>
      <c r="B100" s="113" t="s">
        <v>299</v>
      </c>
      <c r="C100" s="30">
        <f t="shared" si="10"/>
        <v>0</v>
      </c>
      <c r="D100" s="25"/>
      <c r="E100" s="25"/>
      <c r="F100" s="25"/>
      <c r="G100" s="25"/>
      <c r="H100" s="25">
        <f>I100</f>
        <v>0</v>
      </c>
      <c r="I100" s="25"/>
      <c r="J100" s="25"/>
      <c r="K100" s="202">
        <f t="shared" si="0"/>
        <v>0</v>
      </c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</row>
    <row r="101" spans="1:59" ht="40.5" hidden="1">
      <c r="A101" s="178" t="s">
        <v>277</v>
      </c>
      <c r="B101" s="141" t="s">
        <v>276</v>
      </c>
      <c r="C101" s="30">
        <f t="shared" si="10"/>
        <v>0</v>
      </c>
      <c r="D101" s="25"/>
      <c r="E101" s="25"/>
      <c r="F101" s="25"/>
      <c r="G101" s="25"/>
      <c r="H101" s="25">
        <f>I101</f>
        <v>0</v>
      </c>
      <c r="I101" s="25"/>
      <c r="J101" s="25"/>
      <c r="K101" s="202">
        <f t="shared" si="0"/>
        <v>0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1:59" ht="13.5" hidden="1">
      <c r="A102" s="178" t="s">
        <v>278</v>
      </c>
      <c r="B102" s="20" t="s">
        <v>279</v>
      </c>
      <c r="C102" s="30">
        <f t="shared" si="10"/>
        <v>0</v>
      </c>
      <c r="D102" s="25"/>
      <c r="E102" s="25"/>
      <c r="F102" s="25"/>
      <c r="G102" s="25"/>
      <c r="H102" s="25">
        <f>I102</f>
        <v>0</v>
      </c>
      <c r="I102" s="25"/>
      <c r="J102" s="25"/>
      <c r="K102" s="202">
        <f t="shared" si="0"/>
        <v>0</v>
      </c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1:59" ht="39.75" customHeight="1">
      <c r="A103" s="178">
        <v>170703</v>
      </c>
      <c r="B103" s="20" t="s">
        <v>53</v>
      </c>
      <c r="C103" s="30">
        <f t="shared" si="10"/>
        <v>0</v>
      </c>
      <c r="D103" s="25"/>
      <c r="E103" s="25"/>
      <c r="F103" s="25"/>
      <c r="G103" s="25"/>
      <c r="H103" s="25">
        <v>29400</v>
      </c>
      <c r="I103" s="25"/>
      <c r="J103" s="25"/>
      <c r="K103" s="202">
        <f t="shared" si="0"/>
        <v>29400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</row>
    <row r="104" spans="1:59" ht="27">
      <c r="A104" s="178" t="s">
        <v>344</v>
      </c>
      <c r="B104" s="24" t="s">
        <v>54</v>
      </c>
      <c r="C104" s="30">
        <f>D104+E104+F104</f>
        <v>5407.4</v>
      </c>
      <c r="D104" s="25"/>
      <c r="E104" s="25"/>
      <c r="F104" s="25">
        <f>2703.7+2703.7</f>
        <v>5407.4</v>
      </c>
      <c r="G104" s="25"/>
      <c r="H104" s="25"/>
      <c r="I104" s="25"/>
      <c r="J104" s="25"/>
      <c r="K104" s="202">
        <f t="shared" si="0"/>
        <v>5407.4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</row>
    <row r="105" spans="1:59" ht="27.75" customHeight="1">
      <c r="A105" s="178" t="s">
        <v>93</v>
      </c>
      <c r="B105" s="20" t="s">
        <v>94</v>
      </c>
      <c r="C105" s="30">
        <f t="shared" si="10"/>
        <v>0</v>
      </c>
      <c r="D105" s="25"/>
      <c r="E105" s="25"/>
      <c r="F105" s="25"/>
      <c r="G105" s="25"/>
      <c r="H105" s="25">
        <v>665.4</v>
      </c>
      <c r="I105" s="25"/>
      <c r="J105" s="25"/>
      <c r="K105" s="202">
        <f>C105+H105</f>
        <v>665.4</v>
      </c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spans="1:59" ht="13.5">
      <c r="A106" s="182">
        <v>230000</v>
      </c>
      <c r="B106" s="24" t="s">
        <v>56</v>
      </c>
      <c r="C106" s="30">
        <f t="shared" si="10"/>
        <v>0.1</v>
      </c>
      <c r="D106" s="25"/>
      <c r="E106" s="25"/>
      <c r="F106" s="25">
        <v>0.1</v>
      </c>
      <c r="G106" s="25"/>
      <c r="H106" s="25"/>
      <c r="I106" s="25"/>
      <c r="J106" s="25"/>
      <c r="K106" s="202">
        <f t="shared" si="0"/>
        <v>0.1</v>
      </c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</row>
    <row r="107" spans="1:59" ht="67.5" customHeight="1">
      <c r="A107" s="178" t="s">
        <v>155</v>
      </c>
      <c r="B107" s="24" t="s">
        <v>58</v>
      </c>
      <c r="C107" s="30">
        <f t="shared" si="10"/>
        <v>0</v>
      </c>
      <c r="D107" s="25"/>
      <c r="E107" s="25"/>
      <c r="F107" s="25"/>
      <c r="G107" s="25"/>
      <c r="H107" s="25">
        <v>38000</v>
      </c>
      <c r="I107" s="25"/>
      <c r="J107" s="25"/>
      <c r="K107" s="202">
        <f aca="true" t="shared" si="11" ref="K107:K122">C107+H107</f>
        <v>38000</v>
      </c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</row>
    <row r="108" spans="1:59" ht="13.5">
      <c r="A108" s="178">
        <v>250102</v>
      </c>
      <c r="B108" s="41" t="s">
        <v>60</v>
      </c>
      <c r="C108" s="30">
        <f t="shared" si="10"/>
        <v>2651.4</v>
      </c>
      <c r="D108" s="25"/>
      <c r="E108" s="25"/>
      <c r="F108" s="25">
        <f>4000-500-500-198.6-150</f>
        <v>2651.4</v>
      </c>
      <c r="G108" s="25"/>
      <c r="H108" s="25"/>
      <c r="I108" s="25"/>
      <c r="J108" s="25"/>
      <c r="K108" s="202">
        <f t="shared" si="11"/>
        <v>2651.4</v>
      </c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</row>
    <row r="109" spans="1:59" ht="67.5">
      <c r="A109" s="182">
        <v>250301</v>
      </c>
      <c r="B109" s="97" t="s">
        <v>216</v>
      </c>
      <c r="C109" s="30">
        <f t="shared" si="10"/>
        <v>14715</v>
      </c>
      <c r="D109" s="25"/>
      <c r="E109" s="25"/>
      <c r="F109" s="25">
        <v>14715</v>
      </c>
      <c r="G109" s="25"/>
      <c r="H109" s="25"/>
      <c r="I109" s="25"/>
      <c r="J109" s="25"/>
      <c r="K109" s="202">
        <f t="shared" si="11"/>
        <v>14715</v>
      </c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40.5">
      <c r="A110" s="182">
        <v>250306</v>
      </c>
      <c r="B110" s="24" t="s">
        <v>63</v>
      </c>
      <c r="C110" s="30">
        <f t="shared" si="10"/>
        <v>62731.7</v>
      </c>
      <c r="D110" s="25"/>
      <c r="E110" s="25"/>
      <c r="F110" s="25">
        <f>48032.7+12000+900+30+1650+119</f>
        <v>62731.7</v>
      </c>
      <c r="G110" s="25"/>
      <c r="H110" s="25"/>
      <c r="I110" s="25"/>
      <c r="J110" s="25"/>
      <c r="K110" s="202">
        <f t="shared" si="11"/>
        <v>62731.7</v>
      </c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27">
      <c r="A111" s="182" t="s">
        <v>237</v>
      </c>
      <c r="B111" s="20" t="s">
        <v>275</v>
      </c>
      <c r="C111" s="30">
        <f t="shared" si="10"/>
        <v>276.1</v>
      </c>
      <c r="D111" s="25"/>
      <c r="E111" s="25"/>
      <c r="F111" s="25">
        <f>101.5+101.5+73.1</f>
        <v>276.1</v>
      </c>
      <c r="G111" s="25"/>
      <c r="H111" s="25"/>
      <c r="I111" s="25"/>
      <c r="J111" s="25"/>
      <c r="K111" s="202">
        <f t="shared" si="11"/>
        <v>276.1</v>
      </c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1:59" ht="108.75">
      <c r="A112" s="182">
        <v>250313</v>
      </c>
      <c r="B112" s="86" t="s">
        <v>214</v>
      </c>
      <c r="C112" s="30">
        <f t="shared" si="10"/>
        <v>21399.2</v>
      </c>
      <c r="D112" s="25"/>
      <c r="E112" s="25"/>
      <c r="F112" s="25">
        <f>21892.9-493.7</f>
        <v>21399.2</v>
      </c>
      <c r="G112" s="25"/>
      <c r="H112" s="25"/>
      <c r="I112" s="25"/>
      <c r="J112" s="25"/>
      <c r="K112" s="202">
        <f t="shared" si="11"/>
        <v>21399.2</v>
      </c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</row>
    <row r="113" spans="1:59" ht="40.5">
      <c r="A113" s="130" t="s">
        <v>331</v>
      </c>
      <c r="B113" s="32" t="s">
        <v>326</v>
      </c>
      <c r="C113" s="30">
        <f t="shared" si="10"/>
        <v>41966</v>
      </c>
      <c r="D113" s="25"/>
      <c r="E113" s="25"/>
      <c r="F113" s="167">
        <f>43616-1650</f>
        <v>41966</v>
      </c>
      <c r="G113" s="25"/>
      <c r="H113" s="25"/>
      <c r="I113" s="25"/>
      <c r="J113" s="25"/>
      <c r="K113" s="202">
        <f t="shared" si="11"/>
        <v>41966</v>
      </c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ht="67.5">
      <c r="A114" s="182" t="s">
        <v>246</v>
      </c>
      <c r="B114" s="32" t="s">
        <v>239</v>
      </c>
      <c r="C114" s="30">
        <f t="shared" si="10"/>
        <v>93935.5</v>
      </c>
      <c r="D114" s="25"/>
      <c r="E114" s="25"/>
      <c r="F114" s="25">
        <v>93935.5</v>
      </c>
      <c r="G114" s="25"/>
      <c r="H114" s="25"/>
      <c r="I114" s="25"/>
      <c r="J114" s="25"/>
      <c r="K114" s="202">
        <f t="shared" si="11"/>
        <v>93935.5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13" s="21" customFormat="1" ht="207.75" customHeight="1">
      <c r="A115" s="182" t="s">
        <v>247</v>
      </c>
      <c r="B115" s="140" t="s">
        <v>296</v>
      </c>
      <c r="C115" s="30">
        <f t="shared" si="10"/>
        <v>173905.7</v>
      </c>
      <c r="D115" s="30"/>
      <c r="E115" s="30"/>
      <c r="F115" s="30">
        <v>173905.7</v>
      </c>
      <c r="G115" s="30"/>
      <c r="H115" s="30"/>
      <c r="I115" s="30"/>
      <c r="J115" s="30"/>
      <c r="K115" s="202">
        <f t="shared" si="11"/>
        <v>173905.7</v>
      </c>
      <c r="L115" s="28"/>
      <c r="M115" s="29"/>
    </row>
    <row r="116" spans="1:13" s="21" customFormat="1" ht="222" customHeight="1">
      <c r="A116" s="182" t="s">
        <v>236</v>
      </c>
      <c r="B116" s="113" t="s">
        <v>297</v>
      </c>
      <c r="C116" s="30">
        <f t="shared" si="10"/>
        <v>60229.2</v>
      </c>
      <c r="D116" s="30"/>
      <c r="E116" s="30"/>
      <c r="F116" s="30">
        <v>60229.2</v>
      </c>
      <c r="G116" s="30"/>
      <c r="H116" s="30"/>
      <c r="I116" s="30"/>
      <c r="J116" s="30"/>
      <c r="K116" s="202">
        <f t="shared" si="11"/>
        <v>60229.2</v>
      </c>
      <c r="L116" s="28"/>
      <c r="M116" s="29"/>
    </row>
    <row r="117" spans="1:13" s="21" customFormat="1" ht="144.75" customHeight="1">
      <c r="A117" s="182" t="s">
        <v>248</v>
      </c>
      <c r="B117" s="113" t="s">
        <v>243</v>
      </c>
      <c r="C117" s="30">
        <f t="shared" si="10"/>
        <v>21042.2</v>
      </c>
      <c r="D117" s="30"/>
      <c r="E117" s="30"/>
      <c r="F117" s="30">
        <v>21042.2</v>
      </c>
      <c r="G117" s="30"/>
      <c r="H117" s="30"/>
      <c r="I117" s="30"/>
      <c r="J117" s="30"/>
      <c r="K117" s="202">
        <f t="shared" si="11"/>
        <v>21042.2</v>
      </c>
      <c r="L117" s="28"/>
      <c r="M117" s="29"/>
    </row>
    <row r="118" spans="1:13" s="21" customFormat="1" ht="27">
      <c r="A118" s="182" t="s">
        <v>281</v>
      </c>
      <c r="B118" s="20" t="s">
        <v>282</v>
      </c>
      <c r="C118" s="30">
        <f t="shared" si="10"/>
        <v>103623</v>
      </c>
      <c r="D118" s="30"/>
      <c r="E118" s="30"/>
      <c r="F118" s="167">
        <f>31006.3+72616.7</f>
        <v>103623</v>
      </c>
      <c r="G118" s="30"/>
      <c r="H118" s="30"/>
      <c r="I118" s="30"/>
      <c r="J118" s="30"/>
      <c r="K118" s="183">
        <f t="shared" si="11"/>
        <v>103623</v>
      </c>
      <c r="L118" s="28"/>
      <c r="M118" s="29"/>
    </row>
    <row r="119" spans="1:12" s="21" customFormat="1" ht="55.5" customHeight="1">
      <c r="A119" s="182" t="s">
        <v>258</v>
      </c>
      <c r="B119" s="113" t="s">
        <v>245</v>
      </c>
      <c r="C119" s="30">
        <f t="shared" si="10"/>
        <v>0</v>
      </c>
      <c r="D119" s="30"/>
      <c r="E119" s="30"/>
      <c r="F119" s="30"/>
      <c r="G119" s="30"/>
      <c r="H119" s="30">
        <v>9037.8</v>
      </c>
      <c r="I119" s="30"/>
      <c r="J119" s="30"/>
      <c r="K119" s="202">
        <f t="shared" si="11"/>
        <v>9037.8</v>
      </c>
      <c r="L119" s="23"/>
    </row>
    <row r="120" spans="1:12" s="21" customFormat="1" ht="94.5" customHeight="1">
      <c r="A120" s="130" t="s">
        <v>330</v>
      </c>
      <c r="B120" s="113" t="s">
        <v>328</v>
      </c>
      <c r="C120" s="30">
        <f t="shared" si="10"/>
        <v>33441</v>
      </c>
      <c r="D120" s="30"/>
      <c r="E120" s="30"/>
      <c r="F120" s="167">
        <v>33441</v>
      </c>
      <c r="G120" s="30"/>
      <c r="H120" s="30"/>
      <c r="I120" s="30"/>
      <c r="J120" s="30"/>
      <c r="K120" s="202">
        <f t="shared" si="11"/>
        <v>33441</v>
      </c>
      <c r="L120" s="23"/>
    </row>
    <row r="121" spans="1:12" s="21" customFormat="1" ht="14.25" thickBot="1">
      <c r="A121" s="182" t="s">
        <v>320</v>
      </c>
      <c r="B121" s="113" t="s">
        <v>321</v>
      </c>
      <c r="C121" s="30">
        <f t="shared" si="10"/>
        <v>1340</v>
      </c>
      <c r="D121" s="30"/>
      <c r="E121" s="30"/>
      <c r="F121" s="30">
        <f>200+1140</f>
        <v>1340</v>
      </c>
      <c r="G121" s="30"/>
      <c r="H121" s="30"/>
      <c r="I121" s="30"/>
      <c r="J121" s="30"/>
      <c r="K121" s="202">
        <f t="shared" si="11"/>
        <v>1340</v>
      </c>
      <c r="L121" s="23"/>
    </row>
    <row r="122" spans="1:12" s="21" customFormat="1" ht="14.25" hidden="1" thickBot="1">
      <c r="A122" s="268" t="s">
        <v>340</v>
      </c>
      <c r="B122" s="269" t="s">
        <v>73</v>
      </c>
      <c r="C122" s="270">
        <f t="shared" si="10"/>
        <v>0</v>
      </c>
      <c r="D122" s="270"/>
      <c r="E122" s="270"/>
      <c r="F122" s="270"/>
      <c r="G122" s="270"/>
      <c r="H122" s="270"/>
      <c r="I122" s="270"/>
      <c r="J122" s="270"/>
      <c r="K122" s="271">
        <f t="shared" si="11"/>
        <v>0</v>
      </c>
      <c r="L122" s="23"/>
    </row>
    <row r="123" spans="1:59" s="21" customFormat="1" ht="14.25" customHeight="1" thickBot="1">
      <c r="A123" s="325" t="s">
        <v>64</v>
      </c>
      <c r="B123" s="326"/>
      <c r="C123" s="204">
        <f>C15+C27+C32+C40+C52+C54+C65+C66+C75+C80+C92+C94+C98+C96</f>
        <v>1099199.9000000001</v>
      </c>
      <c r="D123" s="204">
        <f>D15+D27+D32+D40+D52+D54+D65+D66+D75+D80+D92+D94+D98</f>
        <v>149083.60000000003</v>
      </c>
      <c r="E123" s="204">
        <f>E15+E27+E32+E40+E52+E54+E65+E66+E75+E80+E92+E94+E98</f>
        <v>33641.8</v>
      </c>
      <c r="F123" s="204">
        <f>F15+F27+F32+F40+F52+F54+F65+F66+F75+F80+F92+F94+F98+F96+F90</f>
        <v>888782.4000000001</v>
      </c>
      <c r="G123" s="204">
        <f>G15+G27+G32+G40+G52+G54+G65+G66+G75+G80+G92+G94+G98+G90</f>
        <v>27692.100000000002</v>
      </c>
      <c r="H123" s="204">
        <f>H15+H27+H32+H40+H52+H54+H65+H66+H75+H80+H92+H94+H98+H84+H90</f>
        <v>160890.3</v>
      </c>
      <c r="I123" s="204">
        <f>I15+I27+I32+I40+I52+I54+I65+I75+I80+I92+I94+I98+I84+I90</f>
        <v>64138.2</v>
      </c>
      <c r="J123" s="204">
        <f>J84</f>
        <v>406.5</v>
      </c>
      <c r="K123" s="205">
        <f>K15+K27+K32+K40+K52+K54+K65+K66+K75+K80+K92+K94+K98+K96+K84+K90</f>
        <v>1260090.2000000002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</row>
    <row r="124" spans="1:59" s="8" customFormat="1" ht="13.5">
      <c r="A124" s="196"/>
      <c r="B124" s="197"/>
      <c r="C124" s="28"/>
      <c r="D124" s="28"/>
      <c r="E124" s="28"/>
      <c r="F124" s="28"/>
      <c r="G124" s="28"/>
      <c r="H124" s="28"/>
      <c r="I124" s="28"/>
      <c r="J124" s="28"/>
      <c r="K124" s="28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6" spans="3:11" ht="13.5">
      <c r="C126" s="44"/>
      <c r="D126" s="44"/>
      <c r="E126" s="44"/>
      <c r="F126" s="44"/>
      <c r="G126" s="44"/>
      <c r="H126" s="44"/>
      <c r="I126" s="44"/>
      <c r="J126" s="44"/>
      <c r="K126" s="44"/>
    </row>
    <row r="127" ht="13.5">
      <c r="C127" s="42">
        <f>C123-'№1'!C65</f>
        <v>30670.800000000047</v>
      </c>
    </row>
    <row r="128" spans="3:11" ht="13.5">
      <c r="C128" s="44"/>
      <c r="D128" s="45" t="s">
        <v>66</v>
      </c>
      <c r="E128" s="45"/>
      <c r="F128" s="45"/>
      <c r="G128" s="45"/>
      <c r="H128" s="44"/>
      <c r="I128" s="45"/>
      <c r="K128" s="44"/>
    </row>
    <row r="129" spans="3:11" ht="13.5">
      <c r="C129" s="42"/>
      <c r="D129" s="33"/>
      <c r="E129" s="33"/>
      <c r="F129" s="33"/>
      <c r="G129" s="33"/>
      <c r="H129" s="33"/>
      <c r="I129" s="33"/>
      <c r="J129" s="33"/>
      <c r="K129" s="33"/>
    </row>
    <row r="130" spans="3:12" ht="13.5">
      <c r="C130" s="213"/>
      <c r="D130" s="213"/>
      <c r="E130" s="213"/>
      <c r="F130" s="213"/>
      <c r="G130" s="213"/>
      <c r="H130" s="213"/>
      <c r="I130" s="213"/>
      <c r="J130" s="213"/>
      <c r="K130" s="213"/>
      <c r="L130" s="214"/>
    </row>
    <row r="131" spans="3:12" ht="13.5">
      <c r="C131" s="214"/>
      <c r="D131" s="33"/>
      <c r="E131" s="33"/>
      <c r="F131" s="33"/>
      <c r="G131" s="33"/>
      <c r="H131" s="33"/>
      <c r="I131" s="33"/>
      <c r="J131" s="33"/>
      <c r="K131" s="33"/>
      <c r="L131" s="158"/>
    </row>
    <row r="132" ht="13.5">
      <c r="C132" s="36"/>
    </row>
    <row r="133" ht="13.5">
      <c r="C133" s="36"/>
    </row>
    <row r="134" spans="3:6" ht="13.5">
      <c r="C134" s="36"/>
      <c r="F134" s="34"/>
    </row>
    <row r="135" ht="13.5">
      <c r="C135" s="36"/>
    </row>
    <row r="136" ht="13.5">
      <c r="C136" s="36"/>
    </row>
    <row r="137" ht="13.5">
      <c r="C137" s="36"/>
    </row>
    <row r="138" ht="13.5">
      <c r="C138" s="36"/>
    </row>
    <row r="139" ht="13.5">
      <c r="C139" s="36"/>
    </row>
    <row r="140" ht="13.5">
      <c r="C140" s="36"/>
    </row>
    <row r="141" ht="13.5">
      <c r="C141" s="36"/>
    </row>
    <row r="142" ht="13.5">
      <c r="C142" s="36"/>
    </row>
    <row r="143" ht="13.5">
      <c r="C143" s="36"/>
    </row>
    <row r="144" ht="13.5">
      <c r="C144" s="36"/>
    </row>
    <row r="145" ht="13.5">
      <c r="C145" s="36"/>
    </row>
    <row r="146" ht="13.5">
      <c r="C146" s="36"/>
    </row>
    <row r="147" ht="13.5">
      <c r="C147" s="36"/>
    </row>
    <row r="148" ht="13.5">
      <c r="C148" s="36"/>
    </row>
    <row r="149" ht="13.5">
      <c r="C149" s="36"/>
    </row>
    <row r="150" ht="13.5">
      <c r="C150" s="36"/>
    </row>
    <row r="151" ht="13.5">
      <c r="C151" s="36"/>
    </row>
    <row r="152" ht="13.5">
      <c r="C152" s="36"/>
    </row>
    <row r="153" ht="13.5">
      <c r="C153" s="36"/>
    </row>
    <row r="154" ht="13.5">
      <c r="C154" s="36"/>
    </row>
    <row r="155" ht="13.5">
      <c r="C155" s="36"/>
    </row>
    <row r="156" ht="13.5">
      <c r="C156" s="36"/>
    </row>
    <row r="157" ht="13.5">
      <c r="C157" s="36"/>
    </row>
    <row r="158" ht="13.5">
      <c r="C158" s="36"/>
    </row>
    <row r="159" ht="13.5">
      <c r="C159" s="36"/>
    </row>
    <row r="160" ht="13.5">
      <c r="C160" s="36"/>
    </row>
    <row r="161" ht="13.5">
      <c r="C161" s="36"/>
    </row>
    <row r="162" ht="13.5">
      <c r="C162" s="36"/>
    </row>
    <row r="163" ht="13.5">
      <c r="C163" s="36"/>
    </row>
    <row r="164" ht="13.5">
      <c r="C164" s="36"/>
    </row>
    <row r="165" ht="13.5">
      <c r="C165" s="36"/>
    </row>
    <row r="166" ht="13.5">
      <c r="C166" s="36"/>
    </row>
    <row r="167" ht="13.5">
      <c r="C167" s="36"/>
    </row>
    <row r="168" ht="13.5">
      <c r="C168" s="36"/>
    </row>
    <row r="169" ht="13.5">
      <c r="C169" s="36"/>
    </row>
    <row r="170" ht="13.5">
      <c r="C170" s="36"/>
    </row>
    <row r="171" ht="13.5">
      <c r="C171" s="36"/>
    </row>
    <row r="172" ht="13.5">
      <c r="C172" s="36"/>
    </row>
    <row r="173" ht="13.5">
      <c r="C173" s="36"/>
    </row>
    <row r="174" ht="13.5">
      <c r="C174" s="36"/>
    </row>
    <row r="175" ht="13.5">
      <c r="C175" s="36"/>
    </row>
    <row r="176" ht="13.5">
      <c r="C176" s="36"/>
    </row>
    <row r="177" ht="13.5">
      <c r="C177" s="36"/>
    </row>
    <row r="178" ht="13.5">
      <c r="C178" s="36"/>
    </row>
    <row r="179" ht="13.5">
      <c r="C179" s="36"/>
    </row>
    <row r="180" ht="13.5">
      <c r="C180" s="36"/>
    </row>
    <row r="181" ht="13.5">
      <c r="C181" s="36"/>
    </row>
    <row r="182" ht="13.5">
      <c r="C182" s="36"/>
    </row>
    <row r="183" ht="13.5">
      <c r="C183" s="36"/>
    </row>
    <row r="184" ht="13.5">
      <c r="C184" s="36"/>
    </row>
    <row r="185" ht="13.5">
      <c r="C185" s="36"/>
    </row>
    <row r="186" ht="13.5">
      <c r="C186" s="36"/>
    </row>
    <row r="187" ht="13.5">
      <c r="C187" s="36"/>
    </row>
    <row r="188" ht="13.5">
      <c r="C188" s="36"/>
    </row>
    <row r="189" ht="13.5">
      <c r="C189" s="36"/>
    </row>
    <row r="190" ht="13.5">
      <c r="C190" s="36"/>
    </row>
    <row r="191" ht="13.5">
      <c r="C191" s="36"/>
    </row>
    <row r="192" ht="13.5">
      <c r="C192" s="36"/>
    </row>
    <row r="193" ht="13.5">
      <c r="C193" s="36"/>
    </row>
    <row r="194" ht="13.5">
      <c r="C194" s="36"/>
    </row>
    <row r="195" ht="13.5">
      <c r="C195" s="36"/>
    </row>
    <row r="196" ht="13.5">
      <c r="C196" s="36"/>
    </row>
    <row r="197" ht="13.5">
      <c r="C197" s="36"/>
    </row>
    <row r="198" ht="13.5">
      <c r="C198" s="36"/>
    </row>
    <row r="199" ht="13.5">
      <c r="C199" s="36"/>
    </row>
    <row r="200" ht="13.5">
      <c r="C200" s="36"/>
    </row>
    <row r="201" ht="13.5">
      <c r="C201" s="36"/>
    </row>
    <row r="202" ht="13.5">
      <c r="C202" s="36"/>
    </row>
    <row r="203" ht="13.5">
      <c r="C203" s="36"/>
    </row>
    <row r="204" ht="13.5">
      <c r="C204" s="36"/>
    </row>
    <row r="205" ht="13.5">
      <c r="C205" s="36"/>
    </row>
    <row r="206" ht="13.5">
      <c r="C206" s="36"/>
    </row>
    <row r="207" ht="13.5">
      <c r="C207" s="36"/>
    </row>
    <row r="208" ht="13.5">
      <c r="C208" s="36"/>
    </row>
    <row r="209" ht="13.5">
      <c r="C209" s="36"/>
    </row>
    <row r="210" ht="13.5">
      <c r="C210" s="36"/>
    </row>
    <row r="211" ht="13.5">
      <c r="C211" s="36"/>
    </row>
    <row r="212" ht="13.5">
      <c r="C212" s="36"/>
    </row>
    <row r="213" ht="13.5">
      <c r="C213" s="36"/>
    </row>
    <row r="214" ht="13.5">
      <c r="C214" s="36"/>
    </row>
    <row r="215" ht="13.5">
      <c r="C215" s="36"/>
    </row>
    <row r="216" ht="13.5">
      <c r="C216" s="36"/>
    </row>
    <row r="217" ht="13.5">
      <c r="C217" s="36"/>
    </row>
    <row r="218" ht="13.5">
      <c r="C218" s="36"/>
    </row>
    <row r="219" ht="13.5">
      <c r="C219" s="36"/>
    </row>
    <row r="220" ht="13.5">
      <c r="C220" s="36"/>
    </row>
    <row r="221" ht="13.5">
      <c r="C221" s="36"/>
    </row>
    <row r="222" ht="13.5">
      <c r="C222" s="36"/>
    </row>
    <row r="223" ht="13.5">
      <c r="C223" s="36"/>
    </row>
    <row r="224" ht="13.5">
      <c r="C224" s="36"/>
    </row>
    <row r="225" ht="13.5">
      <c r="C225" s="36"/>
    </row>
    <row r="226" ht="13.5">
      <c r="C226" s="36"/>
    </row>
    <row r="227" ht="13.5">
      <c r="C227" s="36"/>
    </row>
    <row r="228" ht="13.5">
      <c r="C228" s="36"/>
    </row>
    <row r="229" ht="13.5">
      <c r="C229" s="36"/>
    </row>
    <row r="230" ht="13.5">
      <c r="C230" s="36"/>
    </row>
    <row r="231" ht="13.5">
      <c r="C231" s="36"/>
    </row>
    <row r="232" ht="13.5">
      <c r="C232" s="36"/>
    </row>
    <row r="233" ht="13.5">
      <c r="C233" s="36"/>
    </row>
    <row r="234" ht="13.5">
      <c r="C234" s="36"/>
    </row>
    <row r="235" ht="13.5">
      <c r="C235" s="36"/>
    </row>
    <row r="236" ht="13.5">
      <c r="C236" s="36"/>
    </row>
    <row r="237" ht="13.5">
      <c r="C237" s="36"/>
    </row>
    <row r="238" ht="13.5">
      <c r="C238" s="36"/>
    </row>
    <row r="239" ht="13.5">
      <c r="C239" s="36"/>
    </row>
    <row r="240" ht="13.5">
      <c r="C240" s="36"/>
    </row>
    <row r="241" ht="13.5">
      <c r="C241" s="36"/>
    </row>
    <row r="242" ht="13.5">
      <c r="C242" s="36"/>
    </row>
    <row r="243" ht="13.5">
      <c r="C243" s="36"/>
    </row>
    <row r="244" ht="13.5">
      <c r="C244" s="36"/>
    </row>
    <row r="245" ht="13.5">
      <c r="C245" s="36"/>
    </row>
    <row r="246" ht="13.5">
      <c r="C246" s="36"/>
    </row>
    <row r="247" ht="13.5">
      <c r="C247" s="36"/>
    </row>
    <row r="248" ht="13.5">
      <c r="C248" s="36"/>
    </row>
    <row r="249" ht="13.5">
      <c r="C249" s="36"/>
    </row>
  </sheetData>
  <mergeCells count="16">
    <mergeCell ref="H12:H13"/>
    <mergeCell ref="F1:K1"/>
    <mergeCell ref="H4:K4"/>
    <mergeCell ref="H6:K6"/>
    <mergeCell ref="A8:K8"/>
    <mergeCell ref="J12:J13"/>
    <mergeCell ref="A123:B123"/>
    <mergeCell ref="A9:K9"/>
    <mergeCell ref="H10:K10"/>
    <mergeCell ref="A11:A13"/>
    <mergeCell ref="B11:B13"/>
    <mergeCell ref="C11:G11"/>
    <mergeCell ref="H11:J11"/>
    <mergeCell ref="K11:K13"/>
    <mergeCell ref="C12:C13"/>
    <mergeCell ref="D12:G12"/>
  </mergeCells>
  <printOptions/>
  <pageMargins left="0.21" right="0.27" top="0.27" bottom="0.3" header="0.5" footer="0.32"/>
  <pageSetup horizontalDpi="600" verticalDpi="600" orientation="portrait" paperSize="9" scale="80" r:id="rId1"/>
  <rowBreaks count="4" manualBreakCount="4">
    <brk id="39" max="10" man="1"/>
    <brk id="72" max="10" man="1"/>
    <brk id="106" max="10" man="1"/>
    <brk id="123" max="10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60" zoomScaleNormal="65" workbookViewId="0" topLeftCell="D10">
      <selection activeCell="I9" sqref="I9:J9"/>
    </sheetView>
  </sheetViews>
  <sheetFormatPr defaultColWidth="9.00390625" defaultRowHeight="12.75"/>
  <cols>
    <col min="1" max="1" width="15.625" style="46" customWidth="1"/>
    <col min="2" max="2" width="12.625" style="46" customWidth="1"/>
    <col min="3" max="3" width="29.75390625" style="46" customWidth="1"/>
    <col min="4" max="4" width="21.875" style="46" customWidth="1"/>
    <col min="5" max="5" width="38.875" style="46" customWidth="1"/>
    <col min="6" max="6" width="12.625" style="46" customWidth="1"/>
    <col min="7" max="7" width="9.25390625" style="46" customWidth="1"/>
    <col min="8" max="8" width="12.125" style="46" customWidth="1"/>
    <col min="9" max="9" width="8.25390625" style="46" customWidth="1"/>
    <col min="10" max="10" width="9.875" style="46" customWidth="1"/>
    <col min="11" max="11" width="18.00390625" style="46" customWidth="1"/>
    <col min="12" max="12" width="11.375" style="46" hidden="1" customWidth="1"/>
    <col min="13" max="13" width="18.125" style="46" hidden="1" customWidth="1"/>
    <col min="14" max="14" width="12.25390625" style="46" customWidth="1"/>
    <col min="15" max="15" width="15.625" style="46" customWidth="1"/>
    <col min="16" max="16" width="17.00390625" style="46" customWidth="1"/>
    <col min="17" max="17" width="13.875" style="46" customWidth="1"/>
    <col min="18" max="18" width="12.00390625" style="46" customWidth="1"/>
    <col min="19" max="19" width="0" style="46" hidden="1" customWidth="1"/>
    <col min="20" max="16384" width="9.125" style="46" customWidth="1"/>
  </cols>
  <sheetData>
    <row r="1" spans="14:17" ht="13.5">
      <c r="N1" s="285" t="s">
        <v>95</v>
      </c>
      <c r="O1" s="285"/>
      <c r="P1" s="285"/>
      <c r="Q1" s="285"/>
    </row>
    <row r="2" ht="13.5">
      <c r="N2" s="46" t="s">
        <v>96</v>
      </c>
    </row>
    <row r="3" spans="14:18" ht="13.5">
      <c r="N3" s="285" t="s">
        <v>302</v>
      </c>
      <c r="O3" s="285"/>
      <c r="P3" s="285"/>
      <c r="Q3" s="285"/>
      <c r="R3" s="285"/>
    </row>
    <row r="5" spans="1:18" ht="27.75" customHeight="1">
      <c r="A5" s="345" t="s">
        <v>205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</row>
    <row r="6" spans="1:18" ht="12.75" customHeight="1" thickBo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 t="s">
        <v>202</v>
      </c>
    </row>
    <row r="7" spans="1:20" ht="12.75" customHeight="1">
      <c r="A7" s="346" t="s">
        <v>210</v>
      </c>
      <c r="B7" s="349" t="s">
        <v>97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286" t="s">
        <v>342</v>
      </c>
      <c r="P7" s="286" t="s">
        <v>343</v>
      </c>
      <c r="Q7" s="286" t="s">
        <v>198</v>
      </c>
      <c r="R7" s="288" t="s">
        <v>9</v>
      </c>
      <c r="T7" s="283"/>
    </row>
    <row r="8" spans="1:20" s="50" customFormat="1" ht="16.5" customHeight="1">
      <c r="A8" s="347"/>
      <c r="B8" s="339" t="s">
        <v>207</v>
      </c>
      <c r="C8" s="339" t="s">
        <v>208</v>
      </c>
      <c r="D8" s="339" t="s">
        <v>209</v>
      </c>
      <c r="E8" s="293" t="s">
        <v>256</v>
      </c>
      <c r="F8" s="342" t="s">
        <v>98</v>
      </c>
      <c r="G8" s="343"/>
      <c r="H8" s="343"/>
      <c r="I8" s="343"/>
      <c r="J8" s="343"/>
      <c r="K8" s="343"/>
      <c r="L8" s="343"/>
      <c r="M8" s="344"/>
      <c r="N8" s="339" t="s">
        <v>99</v>
      </c>
      <c r="O8" s="287"/>
      <c r="P8" s="287"/>
      <c r="Q8" s="287"/>
      <c r="R8" s="289"/>
      <c r="T8" s="283"/>
    </row>
    <row r="9" spans="1:20" s="50" customFormat="1" ht="64.5" customHeight="1">
      <c r="A9" s="347"/>
      <c r="B9" s="287"/>
      <c r="C9" s="287"/>
      <c r="D9" s="287"/>
      <c r="E9" s="294"/>
      <c r="F9" s="339" t="s">
        <v>100</v>
      </c>
      <c r="G9" s="339" t="s">
        <v>101</v>
      </c>
      <c r="H9" s="339" t="s">
        <v>199</v>
      </c>
      <c r="I9" s="342" t="s">
        <v>102</v>
      </c>
      <c r="J9" s="344"/>
      <c r="K9" s="339" t="s">
        <v>103</v>
      </c>
      <c r="L9" s="339" t="s">
        <v>104</v>
      </c>
      <c r="M9" s="339" t="s">
        <v>105</v>
      </c>
      <c r="N9" s="287"/>
      <c r="O9" s="287"/>
      <c r="P9" s="287"/>
      <c r="Q9" s="287"/>
      <c r="R9" s="289"/>
      <c r="T9" s="283"/>
    </row>
    <row r="10" spans="1:20" s="50" customFormat="1" ht="176.25" customHeight="1">
      <c r="A10" s="348"/>
      <c r="B10" s="340"/>
      <c r="C10" s="340"/>
      <c r="D10" s="340"/>
      <c r="E10" s="341"/>
      <c r="F10" s="340"/>
      <c r="G10" s="340"/>
      <c r="H10" s="340"/>
      <c r="I10" s="49" t="s">
        <v>106</v>
      </c>
      <c r="J10" s="49" t="s">
        <v>107</v>
      </c>
      <c r="K10" s="340"/>
      <c r="L10" s="340"/>
      <c r="M10" s="340"/>
      <c r="N10" s="340"/>
      <c r="O10" s="340"/>
      <c r="P10" s="340"/>
      <c r="Q10" s="340"/>
      <c r="R10" s="352"/>
      <c r="T10" s="283"/>
    </row>
    <row r="11" spans="1:19" s="58" customFormat="1" ht="14.25">
      <c r="A11" s="207" t="s">
        <v>108</v>
      </c>
      <c r="B11" s="51">
        <v>549.5</v>
      </c>
      <c r="C11" s="52">
        <v>975.9</v>
      </c>
      <c r="D11" s="53">
        <v>225.4</v>
      </c>
      <c r="E11" s="54">
        <f>F11+G11+I11+J11+K11+H11</f>
        <v>477.09999999999997</v>
      </c>
      <c r="F11" s="55">
        <v>293.7</v>
      </c>
      <c r="G11" s="54">
        <v>60.4</v>
      </c>
      <c r="H11" s="54">
        <v>2.8</v>
      </c>
      <c r="I11" s="55"/>
      <c r="J11" s="55"/>
      <c r="K11" s="54">
        <v>120.2</v>
      </c>
      <c r="L11" s="55"/>
      <c r="M11" s="54"/>
      <c r="N11" s="54"/>
      <c r="O11" s="247">
        <v>375</v>
      </c>
      <c r="P11" s="248">
        <v>800</v>
      </c>
      <c r="Q11" s="56">
        <v>76.1</v>
      </c>
      <c r="R11" s="208">
        <f>E11+D11+C11+B11+Q11+N11+O11+P11</f>
        <v>3479</v>
      </c>
      <c r="S11" s="57">
        <f aca="true" t="shared" si="0" ref="S11:S55">E11-F11</f>
        <v>183.39999999999998</v>
      </c>
    </row>
    <row r="12" spans="1:19" s="58" customFormat="1" ht="14.25">
      <c r="A12" s="209" t="s">
        <v>109</v>
      </c>
      <c r="B12" s="51">
        <v>2543.4</v>
      </c>
      <c r="C12" s="52">
        <v>7475.9</v>
      </c>
      <c r="D12" s="59">
        <v>460.5</v>
      </c>
      <c r="E12" s="54">
        <f aca="true" t="shared" si="1" ref="E12:E54">F12+G12+I12+J12+K12+H12</f>
        <v>1779.3999999999999</v>
      </c>
      <c r="F12" s="55">
        <v>1120.7</v>
      </c>
      <c r="G12" s="54">
        <v>327.4</v>
      </c>
      <c r="H12" s="54">
        <v>25.8</v>
      </c>
      <c r="I12" s="55"/>
      <c r="J12" s="55"/>
      <c r="K12" s="54">
        <v>305.5</v>
      </c>
      <c r="L12" s="55"/>
      <c r="M12" s="54"/>
      <c r="N12" s="54"/>
      <c r="O12" s="249">
        <v>750</v>
      </c>
      <c r="P12" s="250">
        <v>320</v>
      </c>
      <c r="Q12" s="56">
        <v>326.8</v>
      </c>
      <c r="R12" s="208">
        <f aca="true" t="shared" si="2" ref="R12:R56">E12+D12+C12+B12+Q12+N12+O12+P12</f>
        <v>13655.999999999998</v>
      </c>
      <c r="S12" s="57">
        <f t="shared" si="0"/>
        <v>658.6999999999998</v>
      </c>
    </row>
    <row r="13" spans="1:19" s="58" customFormat="1" ht="14.25">
      <c r="A13" s="209" t="s">
        <v>110</v>
      </c>
      <c r="B13" s="51">
        <v>7807.6</v>
      </c>
      <c r="C13" s="52">
        <v>13993.3</v>
      </c>
      <c r="D13" s="59">
        <v>530.1</v>
      </c>
      <c r="E13" s="54">
        <f t="shared" si="1"/>
        <v>5044</v>
      </c>
      <c r="F13" s="55">
        <v>2959.6</v>
      </c>
      <c r="G13" s="54">
        <v>486.4</v>
      </c>
      <c r="H13" s="54">
        <v>93.7</v>
      </c>
      <c r="I13" s="55"/>
      <c r="J13" s="55"/>
      <c r="K13" s="54">
        <v>1504.3</v>
      </c>
      <c r="L13" s="55"/>
      <c r="M13" s="54"/>
      <c r="N13" s="54"/>
      <c r="O13" s="249">
        <v>2630</v>
      </c>
      <c r="P13" s="250">
        <v>4450</v>
      </c>
      <c r="Q13" s="56">
        <v>500.9</v>
      </c>
      <c r="R13" s="208">
        <f t="shared" si="2"/>
        <v>34955.9</v>
      </c>
      <c r="S13" s="57">
        <f t="shared" si="0"/>
        <v>2084.4</v>
      </c>
    </row>
    <row r="14" spans="1:19" s="58" customFormat="1" ht="14.25">
      <c r="A14" s="209" t="s">
        <v>111</v>
      </c>
      <c r="B14" s="51">
        <v>1542.8</v>
      </c>
      <c r="C14" s="52">
        <v>1813.1</v>
      </c>
      <c r="D14" s="59">
        <v>397.4</v>
      </c>
      <c r="E14" s="54">
        <f t="shared" si="1"/>
        <v>759.6</v>
      </c>
      <c r="F14" s="55">
        <v>59.6</v>
      </c>
      <c r="G14" s="54">
        <v>97.7</v>
      </c>
      <c r="H14" s="54">
        <v>3.4</v>
      </c>
      <c r="I14" s="55"/>
      <c r="J14" s="54">
        <v>300</v>
      </c>
      <c r="K14" s="54">
        <v>298.9</v>
      </c>
      <c r="L14" s="55"/>
      <c r="M14" s="54"/>
      <c r="N14" s="54"/>
      <c r="O14" s="249"/>
      <c r="P14" s="250"/>
      <c r="Q14" s="56">
        <v>42.5</v>
      </c>
      <c r="R14" s="208">
        <f t="shared" si="2"/>
        <v>4555.4</v>
      </c>
      <c r="S14" s="57">
        <f t="shared" si="0"/>
        <v>700</v>
      </c>
    </row>
    <row r="15" spans="1:19" s="58" customFormat="1" ht="14.25">
      <c r="A15" s="209" t="s">
        <v>112</v>
      </c>
      <c r="B15" s="51">
        <v>1529.4</v>
      </c>
      <c r="C15" s="52">
        <v>3104</v>
      </c>
      <c r="D15" s="59">
        <v>165.1</v>
      </c>
      <c r="E15" s="54">
        <f t="shared" si="1"/>
        <v>1005.9</v>
      </c>
      <c r="F15" s="55">
        <v>517.1</v>
      </c>
      <c r="G15" s="54">
        <v>81.5</v>
      </c>
      <c r="H15" s="54">
        <v>10.1</v>
      </c>
      <c r="I15" s="55"/>
      <c r="J15" s="55"/>
      <c r="K15" s="54">
        <v>397.2</v>
      </c>
      <c r="L15" s="55"/>
      <c r="M15" s="54"/>
      <c r="N15" s="54"/>
      <c r="O15" s="249"/>
      <c r="P15" s="250">
        <v>1200</v>
      </c>
      <c r="Q15" s="56">
        <v>67.2</v>
      </c>
      <c r="R15" s="208">
        <f t="shared" si="2"/>
        <v>7071.599999999999</v>
      </c>
      <c r="S15" s="57">
        <f t="shared" si="0"/>
        <v>488.79999999999995</v>
      </c>
    </row>
    <row r="16" spans="1:19" s="58" customFormat="1" ht="14.25">
      <c r="A16" s="209" t="s">
        <v>113</v>
      </c>
      <c r="B16" s="51">
        <v>1061.5</v>
      </c>
      <c r="C16" s="52">
        <v>1466.6</v>
      </c>
      <c r="D16" s="59">
        <v>119</v>
      </c>
      <c r="E16" s="54">
        <f t="shared" si="1"/>
        <v>254.9</v>
      </c>
      <c r="F16" s="55">
        <v>67.9</v>
      </c>
      <c r="G16" s="54">
        <v>39.7</v>
      </c>
      <c r="H16" s="54">
        <v>21</v>
      </c>
      <c r="I16" s="55"/>
      <c r="J16" s="55"/>
      <c r="K16" s="54">
        <v>126.3</v>
      </c>
      <c r="L16" s="55"/>
      <c r="M16" s="54"/>
      <c r="N16" s="54"/>
      <c r="O16" s="249"/>
      <c r="P16" s="250">
        <v>2600</v>
      </c>
      <c r="Q16" s="56">
        <v>41.8</v>
      </c>
      <c r="R16" s="208">
        <f t="shared" si="2"/>
        <v>5543.8</v>
      </c>
      <c r="S16" s="57">
        <f t="shared" si="0"/>
        <v>187</v>
      </c>
    </row>
    <row r="17" spans="1:19" s="58" customFormat="1" ht="14.25">
      <c r="A17" s="209" t="s">
        <v>114</v>
      </c>
      <c r="B17" s="51">
        <v>1158</v>
      </c>
      <c r="C17" s="52">
        <v>1235.2</v>
      </c>
      <c r="D17" s="59">
        <v>79.2</v>
      </c>
      <c r="E17" s="54">
        <f t="shared" si="1"/>
        <v>436.9</v>
      </c>
      <c r="F17" s="55">
        <v>100.6</v>
      </c>
      <c r="G17" s="54">
        <v>86.1</v>
      </c>
      <c r="H17" s="54">
        <v>22.9</v>
      </c>
      <c r="I17" s="55"/>
      <c r="J17" s="55"/>
      <c r="K17" s="54">
        <v>227.3</v>
      </c>
      <c r="L17" s="55"/>
      <c r="M17" s="54"/>
      <c r="N17" s="54"/>
      <c r="O17" s="249"/>
      <c r="P17" s="250"/>
      <c r="Q17" s="56">
        <v>46.4</v>
      </c>
      <c r="R17" s="208">
        <f t="shared" si="2"/>
        <v>2955.7000000000003</v>
      </c>
      <c r="S17" s="57">
        <f t="shared" si="0"/>
        <v>336.29999999999995</v>
      </c>
    </row>
    <row r="18" spans="1:19" s="58" customFormat="1" ht="14.25">
      <c r="A18" s="209" t="s">
        <v>115</v>
      </c>
      <c r="B18" s="51">
        <v>515</v>
      </c>
      <c r="C18" s="52">
        <v>1839.2</v>
      </c>
      <c r="D18" s="59">
        <v>13.2</v>
      </c>
      <c r="E18" s="54">
        <f t="shared" si="1"/>
        <v>271.5</v>
      </c>
      <c r="F18" s="55">
        <v>30.8</v>
      </c>
      <c r="G18" s="54">
        <v>83.5</v>
      </c>
      <c r="H18" s="54">
        <v>27.1</v>
      </c>
      <c r="I18" s="55"/>
      <c r="J18" s="55"/>
      <c r="K18" s="54">
        <v>130.1</v>
      </c>
      <c r="L18" s="55"/>
      <c r="M18" s="54"/>
      <c r="N18" s="54"/>
      <c r="O18" s="249"/>
      <c r="P18" s="250"/>
      <c r="Q18" s="56">
        <v>68.8</v>
      </c>
      <c r="R18" s="208">
        <f t="shared" si="2"/>
        <v>2707.7000000000003</v>
      </c>
      <c r="S18" s="57">
        <f t="shared" si="0"/>
        <v>240.7</v>
      </c>
    </row>
    <row r="19" spans="1:19" s="58" customFormat="1" ht="14.25">
      <c r="A19" s="209" t="s">
        <v>116</v>
      </c>
      <c r="B19" s="51">
        <v>13611.6</v>
      </c>
      <c r="C19" s="52">
        <v>26281</v>
      </c>
      <c r="D19" s="59">
        <v>784.5</v>
      </c>
      <c r="E19" s="54">
        <f t="shared" si="1"/>
        <v>18663.3</v>
      </c>
      <c r="F19" s="55">
        <v>11828.7</v>
      </c>
      <c r="G19" s="54">
        <v>2571.6</v>
      </c>
      <c r="H19" s="54">
        <v>550</v>
      </c>
      <c r="I19" s="55">
        <v>339.8</v>
      </c>
      <c r="J19" s="55"/>
      <c r="K19" s="54">
        <v>3373.2</v>
      </c>
      <c r="L19" s="55"/>
      <c r="M19" s="54"/>
      <c r="N19" s="54"/>
      <c r="O19" s="249">
        <v>8350</v>
      </c>
      <c r="P19" s="250">
        <v>6945</v>
      </c>
      <c r="Q19" s="56">
        <v>2419.9</v>
      </c>
      <c r="R19" s="208">
        <f t="shared" si="2"/>
        <v>77055.3</v>
      </c>
      <c r="S19" s="57">
        <f t="shared" si="0"/>
        <v>6834.5999999999985</v>
      </c>
    </row>
    <row r="20" spans="1:19" s="58" customFormat="1" ht="14.25">
      <c r="A20" s="209" t="s">
        <v>117</v>
      </c>
      <c r="B20" s="51">
        <v>1982.7</v>
      </c>
      <c r="C20" s="52">
        <v>5208.1</v>
      </c>
      <c r="D20" s="59">
        <v>193.3</v>
      </c>
      <c r="E20" s="54">
        <f t="shared" si="1"/>
        <v>1131</v>
      </c>
      <c r="F20" s="55">
        <v>560.3</v>
      </c>
      <c r="G20" s="54">
        <v>164.3</v>
      </c>
      <c r="H20" s="54">
        <v>49.2</v>
      </c>
      <c r="I20" s="55"/>
      <c r="J20" s="55"/>
      <c r="K20" s="54">
        <v>357.2</v>
      </c>
      <c r="L20" s="55"/>
      <c r="M20" s="54"/>
      <c r="N20" s="54"/>
      <c r="O20" s="249">
        <v>725</v>
      </c>
      <c r="P20" s="250">
        <v>765</v>
      </c>
      <c r="Q20" s="56">
        <v>162.8</v>
      </c>
      <c r="R20" s="208">
        <f t="shared" si="2"/>
        <v>10167.9</v>
      </c>
      <c r="S20" s="57">
        <f t="shared" si="0"/>
        <v>570.7</v>
      </c>
    </row>
    <row r="21" spans="1:19" s="58" customFormat="1" ht="14.25">
      <c r="A21" s="209" t="s">
        <v>118</v>
      </c>
      <c r="B21" s="51">
        <v>2613.5</v>
      </c>
      <c r="C21" s="52">
        <v>7464.7</v>
      </c>
      <c r="D21" s="59">
        <v>344.8</v>
      </c>
      <c r="E21" s="54">
        <f t="shared" si="1"/>
        <v>2072.8</v>
      </c>
      <c r="F21" s="55">
        <v>1438.7</v>
      </c>
      <c r="G21" s="54">
        <v>314.2</v>
      </c>
      <c r="H21" s="54">
        <v>6.5</v>
      </c>
      <c r="I21" s="55"/>
      <c r="J21" s="55"/>
      <c r="K21" s="54">
        <v>313.4</v>
      </c>
      <c r="L21" s="55"/>
      <c r="M21" s="54"/>
      <c r="N21" s="54"/>
      <c r="O21" s="249">
        <v>400</v>
      </c>
      <c r="P21" s="250">
        <v>1050</v>
      </c>
      <c r="Q21" s="56">
        <v>316.2</v>
      </c>
      <c r="R21" s="208">
        <f t="shared" si="2"/>
        <v>14262</v>
      </c>
      <c r="S21" s="57">
        <f t="shared" si="0"/>
        <v>634.1000000000001</v>
      </c>
    </row>
    <row r="22" spans="1:19" s="58" customFormat="1" ht="14.25">
      <c r="A22" s="209" t="s">
        <v>119</v>
      </c>
      <c r="B22" s="51">
        <v>257.6</v>
      </c>
      <c r="C22" s="52">
        <v>364.5</v>
      </c>
      <c r="D22" s="59">
        <v>11.6</v>
      </c>
      <c r="E22" s="54">
        <f t="shared" si="1"/>
        <v>72.80000000000001</v>
      </c>
      <c r="F22" s="55">
        <v>19.7</v>
      </c>
      <c r="G22" s="54">
        <v>15.8</v>
      </c>
      <c r="H22" s="54">
        <v>2.4</v>
      </c>
      <c r="I22" s="55"/>
      <c r="J22" s="55"/>
      <c r="K22" s="54">
        <v>34.9</v>
      </c>
      <c r="L22" s="55"/>
      <c r="M22" s="54"/>
      <c r="N22" s="54"/>
      <c r="O22" s="249">
        <v>200</v>
      </c>
      <c r="P22" s="250">
        <v>400</v>
      </c>
      <c r="Q22" s="56">
        <v>0</v>
      </c>
      <c r="R22" s="208">
        <f t="shared" si="2"/>
        <v>1306.5</v>
      </c>
      <c r="S22" s="57">
        <f t="shared" si="0"/>
        <v>53.10000000000001</v>
      </c>
    </row>
    <row r="23" spans="1:19" s="58" customFormat="1" ht="14.25">
      <c r="A23" s="209" t="s">
        <v>120</v>
      </c>
      <c r="B23" s="51">
        <v>395.6</v>
      </c>
      <c r="C23" s="52">
        <v>577.5</v>
      </c>
      <c r="D23" s="59">
        <v>19.4</v>
      </c>
      <c r="E23" s="54">
        <f t="shared" si="1"/>
        <v>119.80000000000001</v>
      </c>
      <c r="F23" s="55">
        <v>30.3</v>
      </c>
      <c r="G23" s="54">
        <v>29.3</v>
      </c>
      <c r="H23" s="54">
        <v>6</v>
      </c>
      <c r="I23" s="55"/>
      <c r="J23" s="55"/>
      <c r="K23" s="54">
        <v>54.2</v>
      </c>
      <c r="L23" s="55"/>
      <c r="M23" s="54"/>
      <c r="N23" s="54"/>
      <c r="O23" s="249">
        <v>50</v>
      </c>
      <c r="P23" s="250"/>
      <c r="Q23" s="56">
        <v>30.8</v>
      </c>
      <c r="R23" s="208">
        <f t="shared" si="2"/>
        <v>1193.1000000000001</v>
      </c>
      <c r="S23" s="57">
        <f t="shared" si="0"/>
        <v>89.50000000000001</v>
      </c>
    </row>
    <row r="24" spans="1:19" s="58" customFormat="1" ht="14.25">
      <c r="A24" s="209" t="s">
        <v>121</v>
      </c>
      <c r="B24" s="51">
        <v>2689.5</v>
      </c>
      <c r="C24" s="52">
        <v>7059.2</v>
      </c>
      <c r="D24" s="59">
        <v>76.3</v>
      </c>
      <c r="E24" s="54">
        <f t="shared" si="1"/>
        <v>1447.4999999999998</v>
      </c>
      <c r="F24" s="55">
        <v>900.9</v>
      </c>
      <c r="G24" s="54">
        <v>211.7</v>
      </c>
      <c r="H24" s="54">
        <v>20.6</v>
      </c>
      <c r="I24" s="55"/>
      <c r="J24" s="55"/>
      <c r="K24" s="54">
        <v>314.3</v>
      </c>
      <c r="L24" s="55"/>
      <c r="M24" s="54"/>
      <c r="N24" s="54"/>
      <c r="O24" s="249">
        <f>2380-50</f>
        <v>2330</v>
      </c>
      <c r="P24" s="250"/>
      <c r="Q24" s="56">
        <v>200.8</v>
      </c>
      <c r="R24" s="208">
        <f t="shared" si="2"/>
        <v>13803.3</v>
      </c>
      <c r="S24" s="57">
        <f t="shared" si="0"/>
        <v>546.5999999999998</v>
      </c>
    </row>
    <row r="25" spans="1:19" s="58" customFormat="1" ht="14.25">
      <c r="A25" s="209" t="s">
        <v>122</v>
      </c>
      <c r="B25" s="51">
        <v>5704.8</v>
      </c>
      <c r="C25" s="52">
        <v>12944.9</v>
      </c>
      <c r="D25" s="59">
        <v>791.7</v>
      </c>
      <c r="E25" s="54">
        <f t="shared" si="1"/>
        <v>3328.6</v>
      </c>
      <c r="F25" s="55">
        <v>1787</v>
      </c>
      <c r="G25" s="54">
        <v>625.9</v>
      </c>
      <c r="H25" s="54">
        <v>34.1</v>
      </c>
      <c r="I25" s="55"/>
      <c r="J25" s="55"/>
      <c r="K25" s="54">
        <v>881.6</v>
      </c>
      <c r="L25" s="55"/>
      <c r="M25" s="54"/>
      <c r="N25" s="54"/>
      <c r="O25" s="249">
        <v>850</v>
      </c>
      <c r="P25" s="250">
        <v>1500</v>
      </c>
      <c r="Q25" s="56">
        <v>827.7</v>
      </c>
      <c r="R25" s="208">
        <f t="shared" si="2"/>
        <v>25947.7</v>
      </c>
      <c r="S25" s="57">
        <f t="shared" si="0"/>
        <v>1541.6</v>
      </c>
    </row>
    <row r="26" spans="1:19" s="58" customFormat="1" ht="14.25">
      <c r="A26" s="209" t="s">
        <v>123</v>
      </c>
      <c r="B26" s="51">
        <v>1195.7</v>
      </c>
      <c r="C26" s="52">
        <v>2400.4</v>
      </c>
      <c r="D26" s="59">
        <v>432.6</v>
      </c>
      <c r="E26" s="54">
        <f t="shared" si="1"/>
        <v>437.09999999999997</v>
      </c>
      <c r="F26" s="54">
        <v>93.8</v>
      </c>
      <c r="G26" s="54">
        <v>127.2</v>
      </c>
      <c r="H26" s="54">
        <v>9.7</v>
      </c>
      <c r="I26" s="54"/>
      <c r="J26" s="54"/>
      <c r="K26" s="54">
        <v>206.4</v>
      </c>
      <c r="L26" s="55"/>
      <c r="M26" s="54"/>
      <c r="N26" s="54"/>
      <c r="O26" s="249">
        <v>1000</v>
      </c>
      <c r="P26" s="250"/>
      <c r="Q26" s="56">
        <v>110.5</v>
      </c>
      <c r="R26" s="208">
        <f t="shared" si="2"/>
        <v>5576.3</v>
      </c>
      <c r="S26" s="57">
        <f t="shared" si="0"/>
        <v>343.29999999999995</v>
      </c>
    </row>
    <row r="27" spans="1:19" s="58" customFormat="1" ht="14.25">
      <c r="A27" s="209" t="s">
        <v>124</v>
      </c>
      <c r="B27" s="51">
        <v>1804.2</v>
      </c>
      <c r="C27" s="52">
        <v>1293.6</v>
      </c>
      <c r="D27" s="59">
        <v>1340</v>
      </c>
      <c r="E27" s="54">
        <f t="shared" si="1"/>
        <v>1292.6000000000001</v>
      </c>
      <c r="F27" s="55">
        <v>71.8</v>
      </c>
      <c r="G27" s="54">
        <v>97</v>
      </c>
      <c r="H27" s="54">
        <v>8.4</v>
      </c>
      <c r="I27" s="55"/>
      <c r="J27" s="54">
        <v>860</v>
      </c>
      <c r="K27" s="54">
        <v>255.4</v>
      </c>
      <c r="L27" s="55"/>
      <c r="M27" s="54"/>
      <c r="N27" s="54"/>
      <c r="O27" s="249">
        <v>375</v>
      </c>
      <c r="P27" s="250"/>
      <c r="Q27" s="56">
        <v>94.1</v>
      </c>
      <c r="R27" s="208">
        <f t="shared" si="2"/>
        <v>6199.500000000001</v>
      </c>
      <c r="S27" s="57">
        <f t="shared" si="0"/>
        <v>1220.8000000000002</v>
      </c>
    </row>
    <row r="28" spans="1:19" s="58" customFormat="1" ht="14.25">
      <c r="A28" s="209" t="s">
        <v>125</v>
      </c>
      <c r="B28" s="51">
        <v>7212.8</v>
      </c>
      <c r="C28" s="52">
        <v>16855.1</v>
      </c>
      <c r="D28" s="59">
        <v>597.6</v>
      </c>
      <c r="E28" s="54">
        <f t="shared" si="1"/>
        <v>3690.7000000000003</v>
      </c>
      <c r="F28" s="55">
        <v>1880.7</v>
      </c>
      <c r="G28" s="54">
        <v>442.8</v>
      </c>
      <c r="H28" s="54">
        <v>2.3</v>
      </c>
      <c r="I28" s="55"/>
      <c r="J28" s="55"/>
      <c r="K28" s="54">
        <v>1364.9</v>
      </c>
      <c r="L28" s="55"/>
      <c r="M28" s="54"/>
      <c r="N28" s="54"/>
      <c r="O28" s="249">
        <v>1976</v>
      </c>
      <c r="P28" s="250">
        <v>2724</v>
      </c>
      <c r="Q28" s="56">
        <v>383.4</v>
      </c>
      <c r="R28" s="208">
        <f t="shared" si="2"/>
        <v>33439.6</v>
      </c>
      <c r="S28" s="57">
        <f t="shared" si="0"/>
        <v>1810.0000000000002</v>
      </c>
    </row>
    <row r="29" spans="1:19" s="58" customFormat="1" ht="14.25">
      <c r="A29" s="209" t="s">
        <v>126</v>
      </c>
      <c r="B29" s="51">
        <v>6264</v>
      </c>
      <c r="C29" s="52">
        <v>17989.1</v>
      </c>
      <c r="D29" s="59">
        <v>353.6</v>
      </c>
      <c r="E29" s="54">
        <f t="shared" si="1"/>
        <v>6602.7</v>
      </c>
      <c r="F29" s="55">
        <v>3891.3</v>
      </c>
      <c r="G29" s="54">
        <v>1199.2</v>
      </c>
      <c r="H29" s="54">
        <v>100.8</v>
      </c>
      <c r="I29" s="55"/>
      <c r="J29" s="55"/>
      <c r="K29" s="54">
        <v>1411.4</v>
      </c>
      <c r="L29" s="55"/>
      <c r="M29" s="54"/>
      <c r="N29" s="54"/>
      <c r="O29" s="249">
        <v>4500</v>
      </c>
      <c r="P29" s="250">
        <v>550</v>
      </c>
      <c r="Q29" s="56">
        <v>1166.7</v>
      </c>
      <c r="R29" s="208">
        <f t="shared" si="2"/>
        <v>37426.1</v>
      </c>
      <c r="S29" s="57">
        <f t="shared" si="0"/>
        <v>2711.3999999999996</v>
      </c>
    </row>
    <row r="30" spans="1:19" s="58" customFormat="1" ht="14.25">
      <c r="A30" s="209" t="s">
        <v>127</v>
      </c>
      <c r="B30" s="51">
        <v>302.6</v>
      </c>
      <c r="C30" s="52">
        <v>206.8</v>
      </c>
      <c r="D30" s="59">
        <v>28</v>
      </c>
      <c r="E30" s="54">
        <f t="shared" si="1"/>
        <v>99.80000000000001</v>
      </c>
      <c r="F30" s="55">
        <v>27.7</v>
      </c>
      <c r="G30" s="54">
        <v>19.6</v>
      </c>
      <c r="H30" s="54">
        <v>2.4</v>
      </c>
      <c r="I30" s="55"/>
      <c r="J30" s="55"/>
      <c r="K30" s="54">
        <v>50.1</v>
      </c>
      <c r="L30" s="55"/>
      <c r="M30" s="54"/>
      <c r="N30" s="54"/>
      <c r="O30" s="249"/>
      <c r="P30" s="250">
        <v>295</v>
      </c>
      <c r="Q30" s="56">
        <v>0</v>
      </c>
      <c r="R30" s="208">
        <f t="shared" si="2"/>
        <v>932.2</v>
      </c>
      <c r="S30" s="57">
        <f t="shared" si="0"/>
        <v>72.10000000000001</v>
      </c>
    </row>
    <row r="31" spans="1:19" s="58" customFormat="1" ht="14.25">
      <c r="A31" s="209" t="s">
        <v>128</v>
      </c>
      <c r="B31" s="51">
        <v>977</v>
      </c>
      <c r="C31" s="52">
        <v>830.9</v>
      </c>
      <c r="D31" s="59">
        <v>238.3</v>
      </c>
      <c r="E31" s="54">
        <f t="shared" si="1"/>
        <v>451.69999999999993</v>
      </c>
      <c r="F31" s="55">
        <v>79.1</v>
      </c>
      <c r="G31" s="54">
        <v>97</v>
      </c>
      <c r="H31" s="54">
        <v>14.9</v>
      </c>
      <c r="I31" s="55"/>
      <c r="J31" s="55"/>
      <c r="K31" s="54">
        <v>260.7</v>
      </c>
      <c r="L31" s="55"/>
      <c r="M31" s="54"/>
      <c r="N31" s="54"/>
      <c r="O31" s="249">
        <v>700</v>
      </c>
      <c r="P31" s="250">
        <v>1955</v>
      </c>
      <c r="Q31" s="56">
        <v>104</v>
      </c>
      <c r="R31" s="208">
        <f t="shared" si="2"/>
        <v>5256.9</v>
      </c>
      <c r="S31" s="57">
        <f t="shared" si="0"/>
        <v>372.5999999999999</v>
      </c>
    </row>
    <row r="32" spans="1:19" s="58" customFormat="1" ht="14.25">
      <c r="A32" s="209" t="s">
        <v>129</v>
      </c>
      <c r="B32" s="51">
        <v>3222.5</v>
      </c>
      <c r="C32" s="52">
        <v>9280.3</v>
      </c>
      <c r="D32" s="59">
        <v>426.8</v>
      </c>
      <c r="E32" s="54">
        <f t="shared" si="1"/>
        <v>1942.8000000000002</v>
      </c>
      <c r="F32" s="55">
        <v>1161.2</v>
      </c>
      <c r="G32" s="54">
        <v>296</v>
      </c>
      <c r="H32" s="54">
        <v>33</v>
      </c>
      <c r="I32" s="55"/>
      <c r="J32" s="55"/>
      <c r="K32" s="54">
        <v>452.6</v>
      </c>
      <c r="L32" s="55"/>
      <c r="M32" s="54"/>
      <c r="N32" s="54"/>
      <c r="O32" s="249">
        <v>1500</v>
      </c>
      <c r="P32" s="250"/>
      <c r="Q32" s="56">
        <v>369.4</v>
      </c>
      <c r="R32" s="208">
        <f t="shared" si="2"/>
        <v>16741.8</v>
      </c>
      <c r="S32" s="57">
        <f t="shared" si="0"/>
        <v>781.6000000000001</v>
      </c>
    </row>
    <row r="33" spans="1:19" s="58" customFormat="1" ht="14.25">
      <c r="A33" s="209" t="s">
        <v>130</v>
      </c>
      <c r="B33" s="51">
        <v>1838.7</v>
      </c>
      <c r="C33" s="52">
        <v>1090.6</v>
      </c>
      <c r="D33" s="59">
        <v>386</v>
      </c>
      <c r="E33" s="54">
        <f t="shared" si="1"/>
        <v>339.4</v>
      </c>
      <c r="F33" s="55">
        <v>86.5</v>
      </c>
      <c r="G33" s="54">
        <v>98.5</v>
      </c>
      <c r="H33" s="54">
        <v>5.2</v>
      </c>
      <c r="I33" s="55"/>
      <c r="J33" s="55"/>
      <c r="K33" s="54">
        <v>149.2</v>
      </c>
      <c r="L33" s="55"/>
      <c r="M33" s="54"/>
      <c r="N33" s="54"/>
      <c r="O33" s="249">
        <v>755</v>
      </c>
      <c r="P33" s="250">
        <v>800</v>
      </c>
      <c r="Q33" s="56">
        <v>127.5</v>
      </c>
      <c r="R33" s="208">
        <f t="shared" si="2"/>
        <v>5337.2</v>
      </c>
      <c r="S33" s="57">
        <f t="shared" si="0"/>
        <v>252.89999999999998</v>
      </c>
    </row>
    <row r="34" spans="1:19" s="58" customFormat="1" ht="14.25">
      <c r="A34" s="209" t="s">
        <v>131</v>
      </c>
      <c r="B34" s="51">
        <v>2222.6</v>
      </c>
      <c r="C34" s="52">
        <v>1401.1</v>
      </c>
      <c r="D34" s="59">
        <v>442.2</v>
      </c>
      <c r="E34" s="54">
        <f t="shared" si="1"/>
        <v>591.6999999999999</v>
      </c>
      <c r="F34" s="55">
        <v>111.5</v>
      </c>
      <c r="G34" s="54">
        <v>93</v>
      </c>
      <c r="H34" s="54">
        <v>15.8</v>
      </c>
      <c r="I34" s="55"/>
      <c r="J34" s="55"/>
      <c r="K34" s="54">
        <v>371.4</v>
      </c>
      <c r="L34" s="55"/>
      <c r="M34" s="54"/>
      <c r="N34" s="54"/>
      <c r="O34" s="249">
        <v>500</v>
      </c>
      <c r="P34" s="250"/>
      <c r="Q34" s="56">
        <v>144</v>
      </c>
      <c r="R34" s="208">
        <f t="shared" si="2"/>
        <v>5301.6</v>
      </c>
      <c r="S34" s="57">
        <f t="shared" si="0"/>
        <v>480.19999999999993</v>
      </c>
    </row>
    <row r="35" spans="1:19" s="58" customFormat="1" ht="14.25">
      <c r="A35" s="209" t="s">
        <v>132</v>
      </c>
      <c r="B35" s="51">
        <v>376.9</v>
      </c>
      <c r="C35" s="52">
        <v>911.6</v>
      </c>
      <c r="D35" s="59">
        <v>0</v>
      </c>
      <c r="E35" s="54">
        <f t="shared" si="1"/>
        <v>61.400000000000006</v>
      </c>
      <c r="F35" s="55">
        <v>18.2</v>
      </c>
      <c r="G35" s="54">
        <v>11</v>
      </c>
      <c r="H35" s="54">
        <v>0</v>
      </c>
      <c r="I35" s="55"/>
      <c r="J35" s="55"/>
      <c r="K35" s="54">
        <v>32.2</v>
      </c>
      <c r="L35" s="55"/>
      <c r="M35" s="54"/>
      <c r="N35" s="54"/>
      <c r="O35" s="249"/>
      <c r="P35" s="250">
        <v>150</v>
      </c>
      <c r="Q35" s="56">
        <v>6.8</v>
      </c>
      <c r="R35" s="208">
        <f t="shared" si="2"/>
        <v>1506.7</v>
      </c>
      <c r="S35" s="57">
        <f t="shared" si="0"/>
        <v>43.2</v>
      </c>
    </row>
    <row r="36" spans="1:19" s="58" customFormat="1" ht="14.25">
      <c r="A36" s="209" t="s">
        <v>133</v>
      </c>
      <c r="B36" s="51">
        <v>2454.3</v>
      </c>
      <c r="C36" s="52">
        <v>6387.9</v>
      </c>
      <c r="D36" s="59">
        <v>567</v>
      </c>
      <c r="E36" s="54">
        <f t="shared" si="1"/>
        <v>1371.6000000000001</v>
      </c>
      <c r="F36" s="55">
        <v>875</v>
      </c>
      <c r="G36" s="54">
        <v>160.7</v>
      </c>
      <c r="H36" s="54">
        <v>2.9</v>
      </c>
      <c r="I36" s="55"/>
      <c r="J36" s="55"/>
      <c r="K36" s="54">
        <v>333</v>
      </c>
      <c r="L36" s="55"/>
      <c r="M36" s="54"/>
      <c r="N36" s="54"/>
      <c r="O36" s="249">
        <v>6050</v>
      </c>
      <c r="P36" s="250"/>
      <c r="Q36" s="56">
        <v>142.2</v>
      </c>
      <c r="R36" s="208">
        <f t="shared" si="2"/>
        <v>16973</v>
      </c>
      <c r="S36" s="57">
        <f t="shared" si="0"/>
        <v>496.60000000000014</v>
      </c>
    </row>
    <row r="37" spans="1:19" s="58" customFormat="1" ht="14.25">
      <c r="A37" s="209" t="s">
        <v>134</v>
      </c>
      <c r="B37" s="51">
        <v>1571.3</v>
      </c>
      <c r="C37" s="52">
        <v>1539.9</v>
      </c>
      <c r="D37" s="59">
        <v>259.5</v>
      </c>
      <c r="E37" s="54">
        <f t="shared" si="1"/>
        <v>384.8</v>
      </c>
      <c r="F37" s="55">
        <v>88</v>
      </c>
      <c r="G37" s="54">
        <v>66.5</v>
      </c>
      <c r="H37" s="54">
        <v>36.6</v>
      </c>
      <c r="I37" s="55"/>
      <c r="J37" s="55"/>
      <c r="K37" s="54">
        <v>193.7</v>
      </c>
      <c r="L37" s="55"/>
      <c r="M37" s="54"/>
      <c r="N37" s="54"/>
      <c r="O37" s="249">
        <v>500</v>
      </c>
      <c r="P37" s="250">
        <v>250</v>
      </c>
      <c r="Q37" s="56">
        <v>79.7</v>
      </c>
      <c r="R37" s="208">
        <f t="shared" si="2"/>
        <v>4585.2</v>
      </c>
      <c r="S37" s="57">
        <f t="shared" si="0"/>
        <v>296.8</v>
      </c>
    </row>
    <row r="38" spans="1:19" s="58" customFormat="1" ht="14.25">
      <c r="A38" s="209" t="s">
        <v>135</v>
      </c>
      <c r="B38" s="51">
        <v>506.1</v>
      </c>
      <c r="C38" s="52">
        <v>1315.2</v>
      </c>
      <c r="D38" s="59">
        <v>324.1</v>
      </c>
      <c r="E38" s="54">
        <f t="shared" si="1"/>
        <v>2202.6</v>
      </c>
      <c r="F38" s="55">
        <v>45.7</v>
      </c>
      <c r="G38" s="54">
        <v>148.3</v>
      </c>
      <c r="H38" s="54">
        <v>12</v>
      </c>
      <c r="I38" s="55"/>
      <c r="J38" s="54">
        <v>1844</v>
      </c>
      <c r="K38" s="54">
        <v>152.6</v>
      </c>
      <c r="L38" s="55"/>
      <c r="M38" s="54"/>
      <c r="N38" s="54"/>
      <c r="O38" s="249">
        <v>375</v>
      </c>
      <c r="P38" s="250"/>
      <c r="Q38" s="56">
        <v>165.9</v>
      </c>
      <c r="R38" s="208">
        <f t="shared" si="2"/>
        <v>4888.9</v>
      </c>
      <c r="S38" s="57">
        <f t="shared" si="0"/>
        <v>2156.9</v>
      </c>
    </row>
    <row r="39" spans="1:19" s="58" customFormat="1" ht="14.25">
      <c r="A39" s="209" t="s">
        <v>136</v>
      </c>
      <c r="B39" s="51">
        <v>1053.1</v>
      </c>
      <c r="C39" s="52">
        <v>457.4</v>
      </c>
      <c r="D39" s="59">
        <v>501.1</v>
      </c>
      <c r="E39" s="54">
        <f t="shared" si="1"/>
        <v>75.5</v>
      </c>
      <c r="F39" s="55">
        <v>20.7</v>
      </c>
      <c r="G39" s="54">
        <v>13.1</v>
      </c>
      <c r="H39" s="54">
        <v>3.7</v>
      </c>
      <c r="I39" s="55"/>
      <c r="J39" s="55"/>
      <c r="K39" s="54">
        <v>38</v>
      </c>
      <c r="L39" s="55"/>
      <c r="M39" s="54"/>
      <c r="N39" s="54"/>
      <c r="O39" s="249"/>
      <c r="P39" s="250"/>
      <c r="Q39" s="56">
        <v>34.4</v>
      </c>
      <c r="R39" s="208">
        <f t="shared" si="2"/>
        <v>2121.5</v>
      </c>
      <c r="S39" s="57">
        <f t="shared" si="0"/>
        <v>54.8</v>
      </c>
    </row>
    <row r="40" spans="1:19" s="58" customFormat="1" ht="14.25">
      <c r="A40" s="209" t="s">
        <v>137</v>
      </c>
      <c r="B40" s="51">
        <v>2253.4</v>
      </c>
      <c r="C40" s="52">
        <v>3274.1</v>
      </c>
      <c r="D40" s="59">
        <v>783.6</v>
      </c>
      <c r="E40" s="54">
        <f t="shared" si="1"/>
        <v>276.2</v>
      </c>
      <c r="F40" s="55">
        <v>47.4</v>
      </c>
      <c r="G40" s="54">
        <v>119.9</v>
      </c>
      <c r="H40" s="54">
        <v>14.9</v>
      </c>
      <c r="I40" s="55"/>
      <c r="J40" s="55"/>
      <c r="K40" s="54">
        <v>94</v>
      </c>
      <c r="L40" s="55"/>
      <c r="M40" s="54"/>
      <c r="N40" s="54"/>
      <c r="O40" s="249">
        <v>190</v>
      </c>
      <c r="P40" s="250">
        <v>455</v>
      </c>
      <c r="Q40" s="56">
        <v>132.3</v>
      </c>
      <c r="R40" s="208">
        <f t="shared" si="2"/>
        <v>7364.599999999999</v>
      </c>
      <c r="S40" s="57">
        <f t="shared" si="0"/>
        <v>228.79999999999998</v>
      </c>
    </row>
    <row r="41" spans="1:19" s="58" customFormat="1" ht="14.25">
      <c r="A41" s="209" t="s">
        <v>138</v>
      </c>
      <c r="B41" s="51">
        <v>1376.5</v>
      </c>
      <c r="C41" s="52">
        <v>2044.2</v>
      </c>
      <c r="D41" s="59">
        <v>687</v>
      </c>
      <c r="E41" s="54">
        <f t="shared" si="1"/>
        <v>250.79999999999998</v>
      </c>
      <c r="F41" s="55">
        <v>52.9</v>
      </c>
      <c r="G41" s="54">
        <v>59.3</v>
      </c>
      <c r="H41" s="54">
        <v>6.6</v>
      </c>
      <c r="I41" s="55"/>
      <c r="J41" s="55"/>
      <c r="K41" s="54">
        <v>132</v>
      </c>
      <c r="L41" s="55"/>
      <c r="M41" s="54"/>
      <c r="N41" s="54"/>
      <c r="O41" s="249">
        <v>745</v>
      </c>
      <c r="P41" s="250">
        <v>875</v>
      </c>
      <c r="Q41" s="56">
        <v>74</v>
      </c>
      <c r="R41" s="208">
        <f t="shared" si="2"/>
        <v>6052.5</v>
      </c>
      <c r="S41" s="57">
        <f t="shared" si="0"/>
        <v>197.89999999999998</v>
      </c>
    </row>
    <row r="42" spans="1:19" s="58" customFormat="1" ht="14.25">
      <c r="A42" s="209" t="s">
        <v>139</v>
      </c>
      <c r="B42" s="51">
        <v>1965.4</v>
      </c>
      <c r="C42" s="52">
        <v>444.4</v>
      </c>
      <c r="D42" s="59">
        <v>1289</v>
      </c>
      <c r="E42" s="54">
        <f t="shared" si="1"/>
        <v>285.7</v>
      </c>
      <c r="F42" s="55">
        <v>47.5</v>
      </c>
      <c r="G42" s="54">
        <v>86.4</v>
      </c>
      <c r="H42" s="54">
        <v>28</v>
      </c>
      <c r="I42" s="55"/>
      <c r="J42" s="55"/>
      <c r="K42" s="54">
        <v>123.8</v>
      </c>
      <c r="L42" s="55"/>
      <c r="M42" s="54"/>
      <c r="N42" s="54"/>
      <c r="O42" s="249">
        <v>375</v>
      </c>
      <c r="P42" s="250"/>
      <c r="Q42" s="56">
        <v>98.1</v>
      </c>
      <c r="R42" s="208">
        <f t="shared" si="2"/>
        <v>4457.6</v>
      </c>
      <c r="S42" s="57">
        <f t="shared" si="0"/>
        <v>238.2</v>
      </c>
    </row>
    <row r="43" spans="1:19" s="58" customFormat="1" ht="14.25">
      <c r="A43" s="209" t="s">
        <v>140</v>
      </c>
      <c r="B43" s="51">
        <v>2010.2</v>
      </c>
      <c r="C43" s="52">
        <v>2906.4</v>
      </c>
      <c r="D43" s="59">
        <v>1528.6</v>
      </c>
      <c r="E43" s="54">
        <f t="shared" si="1"/>
        <v>596.2</v>
      </c>
      <c r="F43" s="55">
        <v>85</v>
      </c>
      <c r="G43" s="54">
        <v>74.9</v>
      </c>
      <c r="H43" s="54">
        <v>24.1</v>
      </c>
      <c r="I43" s="55"/>
      <c r="J43" s="55"/>
      <c r="K43" s="54">
        <v>412.2</v>
      </c>
      <c r="L43" s="55"/>
      <c r="M43" s="54"/>
      <c r="N43" s="54"/>
      <c r="O43" s="249">
        <v>1900</v>
      </c>
      <c r="P43" s="250">
        <v>1062</v>
      </c>
      <c r="Q43" s="56">
        <v>40.4</v>
      </c>
      <c r="R43" s="208">
        <f t="shared" si="2"/>
        <v>10043.8</v>
      </c>
      <c r="S43" s="57">
        <f t="shared" si="0"/>
        <v>511.20000000000005</v>
      </c>
    </row>
    <row r="44" spans="1:19" s="58" customFormat="1" ht="14.25">
      <c r="A44" s="209" t="s">
        <v>141</v>
      </c>
      <c r="B44" s="51">
        <v>788.5</v>
      </c>
      <c r="C44" s="52">
        <v>1166.4</v>
      </c>
      <c r="D44" s="59">
        <v>361</v>
      </c>
      <c r="E44" s="54">
        <f t="shared" si="1"/>
        <v>153.9</v>
      </c>
      <c r="F44" s="55">
        <v>29</v>
      </c>
      <c r="G44" s="54">
        <v>43.9</v>
      </c>
      <c r="H44" s="54">
        <v>23.9</v>
      </c>
      <c r="I44" s="55"/>
      <c r="J44" s="55"/>
      <c r="K44" s="54">
        <v>57.1</v>
      </c>
      <c r="L44" s="55"/>
      <c r="M44" s="54"/>
      <c r="N44" s="54"/>
      <c r="O44" s="249">
        <v>400</v>
      </c>
      <c r="P44" s="250"/>
      <c r="Q44" s="56">
        <v>49.2</v>
      </c>
      <c r="R44" s="208">
        <f t="shared" si="2"/>
        <v>2919</v>
      </c>
      <c r="S44" s="57">
        <f t="shared" si="0"/>
        <v>124.9</v>
      </c>
    </row>
    <row r="45" spans="1:19" s="58" customFormat="1" ht="14.25">
      <c r="A45" s="209" t="s">
        <v>142</v>
      </c>
      <c r="B45" s="51">
        <v>523.5</v>
      </c>
      <c r="C45" s="52">
        <v>80</v>
      </c>
      <c r="D45" s="59">
        <v>527.6</v>
      </c>
      <c r="E45" s="54">
        <f t="shared" si="1"/>
        <v>85.3</v>
      </c>
      <c r="F45" s="55">
        <v>21.6</v>
      </c>
      <c r="G45" s="54">
        <v>11.4</v>
      </c>
      <c r="H45" s="54">
        <v>3.3</v>
      </c>
      <c r="I45" s="55"/>
      <c r="J45" s="55"/>
      <c r="K45" s="54">
        <v>49</v>
      </c>
      <c r="L45" s="55"/>
      <c r="M45" s="54"/>
      <c r="N45" s="54"/>
      <c r="O45" s="249">
        <v>200</v>
      </c>
      <c r="P45" s="250"/>
      <c r="Q45" s="56">
        <v>9.8</v>
      </c>
      <c r="R45" s="208">
        <f t="shared" si="2"/>
        <v>1426.2</v>
      </c>
      <c r="S45" s="57">
        <f t="shared" si="0"/>
        <v>63.699999999999996</v>
      </c>
    </row>
    <row r="46" spans="1:19" s="58" customFormat="1" ht="14.25">
      <c r="A46" s="209" t="s">
        <v>143</v>
      </c>
      <c r="B46" s="51">
        <v>773.3</v>
      </c>
      <c r="C46" s="52">
        <v>1054.5</v>
      </c>
      <c r="D46" s="59">
        <v>305.6</v>
      </c>
      <c r="E46" s="54">
        <f t="shared" si="1"/>
        <v>120.8</v>
      </c>
      <c r="F46" s="55">
        <v>20.9</v>
      </c>
      <c r="G46" s="54">
        <v>15.8</v>
      </c>
      <c r="H46" s="54">
        <v>0</v>
      </c>
      <c r="I46" s="55"/>
      <c r="J46" s="55"/>
      <c r="K46" s="54">
        <v>84.1</v>
      </c>
      <c r="L46" s="55"/>
      <c r="M46" s="54"/>
      <c r="N46" s="54"/>
      <c r="O46" s="249">
        <v>480</v>
      </c>
      <c r="P46" s="250">
        <v>1040</v>
      </c>
      <c r="Q46" s="56">
        <v>13.6</v>
      </c>
      <c r="R46" s="208">
        <f t="shared" si="2"/>
        <v>3787.7999999999997</v>
      </c>
      <c r="S46" s="57">
        <f t="shared" si="0"/>
        <v>99.9</v>
      </c>
    </row>
    <row r="47" spans="1:19" s="58" customFormat="1" ht="14.25">
      <c r="A47" s="209" t="s">
        <v>144</v>
      </c>
      <c r="B47" s="51">
        <v>647.6</v>
      </c>
      <c r="C47" s="52">
        <v>178.6</v>
      </c>
      <c r="D47" s="59">
        <v>667.6</v>
      </c>
      <c r="E47" s="54">
        <f t="shared" si="1"/>
        <v>135.7</v>
      </c>
      <c r="F47" s="55">
        <v>33.8</v>
      </c>
      <c r="G47" s="54">
        <v>21</v>
      </c>
      <c r="H47" s="54">
        <v>5</v>
      </c>
      <c r="I47" s="55"/>
      <c r="J47" s="55"/>
      <c r="K47" s="54">
        <v>75.9</v>
      </c>
      <c r="L47" s="55"/>
      <c r="M47" s="54"/>
      <c r="N47" s="54"/>
      <c r="O47" s="249">
        <v>250</v>
      </c>
      <c r="P47" s="250"/>
      <c r="Q47" s="56">
        <v>18.6</v>
      </c>
      <c r="R47" s="208">
        <f t="shared" si="2"/>
        <v>1898.1</v>
      </c>
      <c r="S47" s="57">
        <f t="shared" si="0"/>
        <v>101.89999999999999</v>
      </c>
    </row>
    <row r="48" spans="1:19" s="58" customFormat="1" ht="14.25">
      <c r="A48" s="209" t="s">
        <v>145</v>
      </c>
      <c r="B48" s="51">
        <v>2174.6</v>
      </c>
      <c r="C48" s="52">
        <v>3120.2</v>
      </c>
      <c r="D48" s="59">
        <v>866.8</v>
      </c>
      <c r="E48" s="54">
        <f t="shared" si="1"/>
        <v>594.6999999999999</v>
      </c>
      <c r="F48" s="55">
        <v>99.5</v>
      </c>
      <c r="G48" s="54">
        <v>115.4</v>
      </c>
      <c r="H48" s="54">
        <v>13.9</v>
      </c>
      <c r="I48" s="55"/>
      <c r="J48" s="55"/>
      <c r="K48" s="54">
        <v>365.9</v>
      </c>
      <c r="L48" s="55"/>
      <c r="M48" s="54"/>
      <c r="N48" s="54"/>
      <c r="O48" s="249">
        <v>375</v>
      </c>
      <c r="P48" s="250"/>
      <c r="Q48" s="56">
        <v>163</v>
      </c>
      <c r="R48" s="208">
        <f t="shared" si="2"/>
        <v>7294.299999999999</v>
      </c>
      <c r="S48" s="57">
        <f t="shared" si="0"/>
        <v>495.19999999999993</v>
      </c>
    </row>
    <row r="49" spans="1:19" s="58" customFormat="1" ht="14.25">
      <c r="A49" s="209" t="s">
        <v>146</v>
      </c>
      <c r="B49" s="51">
        <v>1125.6</v>
      </c>
      <c r="C49" s="52">
        <v>1497.5</v>
      </c>
      <c r="D49" s="59">
        <v>417.5</v>
      </c>
      <c r="E49" s="54">
        <f t="shared" si="1"/>
        <v>174.70000000000002</v>
      </c>
      <c r="F49" s="55">
        <v>31</v>
      </c>
      <c r="G49" s="54">
        <v>50.4</v>
      </c>
      <c r="H49" s="54">
        <v>0.4</v>
      </c>
      <c r="I49" s="55"/>
      <c r="J49" s="55"/>
      <c r="K49" s="54">
        <v>92.9</v>
      </c>
      <c r="L49" s="55"/>
      <c r="M49" s="54"/>
      <c r="N49" s="54"/>
      <c r="O49" s="249">
        <v>495</v>
      </c>
      <c r="P49" s="250">
        <v>380</v>
      </c>
      <c r="Q49" s="56">
        <v>61.4</v>
      </c>
      <c r="R49" s="208">
        <f t="shared" si="2"/>
        <v>4151.7</v>
      </c>
      <c r="S49" s="57">
        <f t="shared" si="0"/>
        <v>143.70000000000002</v>
      </c>
    </row>
    <row r="50" spans="1:19" s="58" customFormat="1" ht="14.25">
      <c r="A50" s="209" t="s">
        <v>147</v>
      </c>
      <c r="B50" s="51">
        <v>520.8</v>
      </c>
      <c r="C50" s="52">
        <v>1193.9</v>
      </c>
      <c r="D50" s="59">
        <v>426.4</v>
      </c>
      <c r="E50" s="54">
        <f t="shared" si="1"/>
        <v>197.3</v>
      </c>
      <c r="F50" s="55">
        <v>24.7</v>
      </c>
      <c r="G50" s="54">
        <v>50</v>
      </c>
      <c r="H50" s="54">
        <v>26.2</v>
      </c>
      <c r="I50" s="55"/>
      <c r="J50" s="55"/>
      <c r="K50" s="54">
        <v>96.4</v>
      </c>
      <c r="L50" s="55"/>
      <c r="M50" s="54"/>
      <c r="N50" s="54"/>
      <c r="O50" s="249">
        <v>550</v>
      </c>
      <c r="P50" s="250"/>
      <c r="Q50" s="56">
        <v>64</v>
      </c>
      <c r="R50" s="208">
        <f t="shared" si="2"/>
        <v>2952.4</v>
      </c>
      <c r="S50" s="57">
        <f t="shared" si="0"/>
        <v>172.60000000000002</v>
      </c>
    </row>
    <row r="51" spans="1:19" s="58" customFormat="1" ht="14.25">
      <c r="A51" s="209" t="s">
        <v>148</v>
      </c>
      <c r="B51" s="51">
        <v>695.2</v>
      </c>
      <c r="C51" s="52">
        <v>474.9</v>
      </c>
      <c r="D51" s="59">
        <v>880.6</v>
      </c>
      <c r="E51" s="54">
        <f t="shared" si="1"/>
        <v>145.3</v>
      </c>
      <c r="F51" s="55">
        <v>37.5</v>
      </c>
      <c r="G51" s="54">
        <v>11.9</v>
      </c>
      <c r="H51" s="54">
        <v>3.4</v>
      </c>
      <c r="I51" s="55"/>
      <c r="J51" s="55"/>
      <c r="K51" s="54">
        <v>92.5</v>
      </c>
      <c r="L51" s="55"/>
      <c r="M51" s="54"/>
      <c r="N51" s="54"/>
      <c r="O51" s="249"/>
      <c r="P51" s="250"/>
      <c r="Q51" s="56">
        <v>18.6</v>
      </c>
      <c r="R51" s="208">
        <f t="shared" si="2"/>
        <v>2214.6</v>
      </c>
      <c r="S51" s="57">
        <f t="shared" si="0"/>
        <v>107.80000000000001</v>
      </c>
    </row>
    <row r="52" spans="1:19" s="58" customFormat="1" ht="14.25">
      <c r="A52" s="209" t="s">
        <v>149</v>
      </c>
      <c r="B52" s="51">
        <v>1921.1</v>
      </c>
      <c r="C52" s="52">
        <v>1684.7</v>
      </c>
      <c r="D52" s="59">
        <v>688.2</v>
      </c>
      <c r="E52" s="54">
        <f t="shared" si="1"/>
        <v>325.4</v>
      </c>
      <c r="F52" s="55">
        <v>50.1</v>
      </c>
      <c r="G52" s="54">
        <v>96.6</v>
      </c>
      <c r="H52" s="54">
        <v>24.7</v>
      </c>
      <c r="I52" s="55"/>
      <c r="J52" s="55"/>
      <c r="K52" s="54">
        <v>154</v>
      </c>
      <c r="L52" s="55"/>
      <c r="M52" s="54"/>
      <c r="N52" s="54"/>
      <c r="O52" s="249">
        <v>350</v>
      </c>
      <c r="P52" s="250">
        <v>660</v>
      </c>
      <c r="Q52" s="56">
        <v>132.2</v>
      </c>
      <c r="R52" s="208">
        <f t="shared" si="2"/>
        <v>5761.599999999999</v>
      </c>
      <c r="S52" s="57">
        <f t="shared" si="0"/>
        <v>275.29999999999995</v>
      </c>
    </row>
    <row r="53" spans="1:19" s="58" customFormat="1" ht="14.25">
      <c r="A53" s="209" t="s">
        <v>150</v>
      </c>
      <c r="B53" s="51">
        <v>946.7</v>
      </c>
      <c r="C53" s="52">
        <v>270.9</v>
      </c>
      <c r="D53" s="59">
        <v>805.9</v>
      </c>
      <c r="E53" s="54">
        <f t="shared" si="1"/>
        <v>159.1</v>
      </c>
      <c r="F53" s="55">
        <v>32.4</v>
      </c>
      <c r="G53" s="54">
        <v>40.2</v>
      </c>
      <c r="H53" s="54">
        <v>14.4</v>
      </c>
      <c r="I53" s="55"/>
      <c r="J53" s="55"/>
      <c r="K53" s="54">
        <v>72.1</v>
      </c>
      <c r="L53" s="55"/>
      <c r="M53" s="54"/>
      <c r="N53" s="54"/>
      <c r="O53" s="249">
        <v>465</v>
      </c>
      <c r="P53" s="250">
        <v>380</v>
      </c>
      <c r="Q53" s="56">
        <v>48.5</v>
      </c>
      <c r="R53" s="208">
        <f t="shared" si="2"/>
        <v>3076.1000000000004</v>
      </c>
      <c r="S53" s="57">
        <f t="shared" si="0"/>
        <v>126.69999999999999</v>
      </c>
    </row>
    <row r="54" spans="1:19" s="58" customFormat="1" ht="14.25">
      <c r="A54" s="209" t="s">
        <v>151</v>
      </c>
      <c r="B54" s="51">
        <v>646.5</v>
      </c>
      <c r="C54" s="52">
        <v>179.8</v>
      </c>
      <c r="D54" s="59">
        <v>267.1</v>
      </c>
      <c r="E54" s="54">
        <f t="shared" si="1"/>
        <v>106.39999999999999</v>
      </c>
      <c r="F54" s="55">
        <v>24.8</v>
      </c>
      <c r="G54" s="54">
        <v>14.4</v>
      </c>
      <c r="H54" s="54">
        <v>0.1</v>
      </c>
      <c r="I54" s="55"/>
      <c r="J54" s="55"/>
      <c r="K54" s="54">
        <v>67.1</v>
      </c>
      <c r="L54" s="55"/>
      <c r="M54" s="54"/>
      <c r="N54" s="54"/>
      <c r="O54" s="249">
        <v>300</v>
      </c>
      <c r="P54" s="250">
        <v>1680</v>
      </c>
      <c r="Q54" s="56">
        <v>18.8</v>
      </c>
      <c r="R54" s="208">
        <f t="shared" si="2"/>
        <v>3198.6</v>
      </c>
      <c r="S54" s="57">
        <f t="shared" si="0"/>
        <v>81.6</v>
      </c>
    </row>
    <row r="55" spans="1:19" s="58" customFormat="1" ht="14.25">
      <c r="A55" s="209" t="s">
        <v>152</v>
      </c>
      <c r="B55" s="51">
        <v>602.3</v>
      </c>
      <c r="C55" s="52">
        <v>572.2</v>
      </c>
      <c r="D55" s="59">
        <v>431.4</v>
      </c>
      <c r="E55" s="54">
        <f>F55+G55+I55+J55+K55+H55</f>
        <v>212.2</v>
      </c>
      <c r="F55" s="55">
        <v>29.2</v>
      </c>
      <c r="G55" s="54">
        <v>26.8</v>
      </c>
      <c r="H55" s="54">
        <v>5.2</v>
      </c>
      <c r="I55" s="55"/>
      <c r="J55" s="55"/>
      <c r="K55" s="54">
        <v>151</v>
      </c>
      <c r="L55" s="55"/>
      <c r="M55" s="54"/>
      <c r="N55" s="54"/>
      <c r="O55" s="249"/>
      <c r="P55" s="250">
        <v>155</v>
      </c>
      <c r="Q55" s="56">
        <v>38</v>
      </c>
      <c r="R55" s="208">
        <f t="shared" si="2"/>
        <v>2011.1</v>
      </c>
      <c r="S55" s="57">
        <f t="shared" si="0"/>
        <v>183</v>
      </c>
    </row>
    <row r="56" spans="1:18" s="58" customFormat="1" ht="15" thickBot="1">
      <c r="A56" s="210" t="s">
        <v>153</v>
      </c>
      <c r="B56" s="60"/>
      <c r="C56" s="61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>
        <v>103623</v>
      </c>
      <c r="O56" s="251">
        <v>1650</v>
      </c>
      <c r="P56" s="252"/>
      <c r="Q56" s="64"/>
      <c r="R56" s="208">
        <f t="shared" si="2"/>
        <v>105273</v>
      </c>
    </row>
    <row r="57" spans="1:19" s="72" customFormat="1" ht="15" thickBot="1">
      <c r="A57" s="65" t="s">
        <v>154</v>
      </c>
      <c r="B57" s="66">
        <f aca="true" t="shared" si="3" ref="B57:S57">SUM(B11:B56)</f>
        <v>93935.50000000003</v>
      </c>
      <c r="C57" s="67">
        <f t="shared" si="3"/>
        <v>173905.7</v>
      </c>
      <c r="D57" s="68">
        <f t="shared" si="3"/>
        <v>21042.200000000008</v>
      </c>
      <c r="E57" s="69">
        <f t="shared" si="3"/>
        <v>60229.19999999998</v>
      </c>
      <c r="F57" s="69">
        <f t="shared" si="3"/>
        <v>30834.100000000006</v>
      </c>
      <c r="G57" s="69">
        <f t="shared" si="3"/>
        <v>8903.699999999997</v>
      </c>
      <c r="H57" s="69">
        <f t="shared" si="3"/>
        <v>1317.4000000000003</v>
      </c>
      <c r="I57" s="69">
        <f t="shared" si="3"/>
        <v>339.8</v>
      </c>
      <c r="J57" s="69">
        <f t="shared" si="3"/>
        <v>3004</v>
      </c>
      <c r="K57" s="69">
        <f t="shared" si="3"/>
        <v>15830.2</v>
      </c>
      <c r="L57" s="69">
        <f t="shared" si="3"/>
        <v>0</v>
      </c>
      <c r="M57" s="69">
        <f t="shared" si="3"/>
        <v>0</v>
      </c>
      <c r="N57" s="69">
        <f t="shared" si="3"/>
        <v>103623</v>
      </c>
      <c r="O57" s="69">
        <f>SUM(O11:O56)</f>
        <v>43616</v>
      </c>
      <c r="P57" s="69">
        <f>SUM(P11:P56)</f>
        <v>33441</v>
      </c>
      <c r="Q57" s="70">
        <f t="shared" si="3"/>
        <v>9037.8</v>
      </c>
      <c r="R57" s="71">
        <f t="shared" si="3"/>
        <v>538830.3999999999</v>
      </c>
      <c r="S57" s="206">
        <f t="shared" si="3"/>
        <v>29395.100000000002</v>
      </c>
    </row>
    <row r="58" ht="13.5">
      <c r="A58" s="73"/>
    </row>
    <row r="59" spans="1:17" ht="13.5">
      <c r="A59" s="73"/>
      <c r="D59" s="105">
        <f>C57+D57+F59</f>
        <v>194947.90000000002</v>
      </c>
      <c r="F59" s="74"/>
      <c r="J59" s="74"/>
      <c r="Q59" s="74"/>
    </row>
    <row r="60" ht="13.5">
      <c r="A60" s="73"/>
    </row>
    <row r="61" ht="13.5">
      <c r="A61" s="73"/>
    </row>
    <row r="62" ht="13.5">
      <c r="A62" s="73"/>
    </row>
    <row r="63" ht="13.5">
      <c r="A63" s="73"/>
    </row>
    <row r="64" ht="13.5">
      <c r="A64" s="73"/>
    </row>
    <row r="65" ht="13.5">
      <c r="A65" s="73"/>
    </row>
    <row r="66" ht="13.5">
      <c r="A66" s="73"/>
    </row>
    <row r="67" ht="13.5">
      <c r="A67" s="73"/>
    </row>
    <row r="68" ht="13.5">
      <c r="A68" s="73"/>
    </row>
    <row r="69" ht="13.5">
      <c r="A69" s="73"/>
    </row>
    <row r="70" ht="13.5">
      <c r="A70" s="73"/>
    </row>
    <row r="71" ht="13.5">
      <c r="A71" s="58"/>
    </row>
    <row r="72" ht="13.5">
      <c r="A72" s="58"/>
    </row>
    <row r="73" ht="13.5">
      <c r="A73" s="58"/>
    </row>
    <row r="74" ht="13.5">
      <c r="A74" s="58"/>
    </row>
    <row r="75" ht="13.5">
      <c r="A75" s="58"/>
    </row>
    <row r="76" ht="13.5">
      <c r="A76" s="58"/>
    </row>
    <row r="77" ht="13.5">
      <c r="A77" s="58"/>
    </row>
    <row r="78" ht="13.5">
      <c r="A78" s="58"/>
    </row>
    <row r="79" ht="13.5">
      <c r="A79" s="58"/>
    </row>
    <row r="80" ht="13.5">
      <c r="A80" s="58"/>
    </row>
    <row r="81" ht="13.5">
      <c r="A81" s="58"/>
    </row>
    <row r="82" ht="13.5">
      <c r="A82" s="58"/>
    </row>
    <row r="83" ht="13.5">
      <c r="A83" s="58"/>
    </row>
    <row r="84" ht="13.5">
      <c r="A84" s="58"/>
    </row>
    <row r="85" ht="13.5">
      <c r="A85" s="58"/>
    </row>
    <row r="86" ht="13.5">
      <c r="A86" s="58"/>
    </row>
    <row r="87" ht="13.5">
      <c r="A87" s="58"/>
    </row>
    <row r="88" ht="13.5">
      <c r="A88" s="58"/>
    </row>
    <row r="89" ht="13.5">
      <c r="A89" s="58"/>
    </row>
    <row r="90" ht="13.5">
      <c r="A90" s="58"/>
    </row>
    <row r="91" ht="13.5">
      <c r="A91" s="58"/>
    </row>
    <row r="92" ht="13.5">
      <c r="A92" s="58"/>
    </row>
    <row r="93" ht="13.5">
      <c r="A93" s="58"/>
    </row>
    <row r="94" ht="13.5">
      <c r="A94" s="58"/>
    </row>
    <row r="95" ht="13.5">
      <c r="A95" s="58"/>
    </row>
    <row r="96" ht="13.5">
      <c r="A96" s="58"/>
    </row>
    <row r="97" ht="13.5">
      <c r="A97" s="58"/>
    </row>
  </sheetData>
  <mergeCells count="23">
    <mergeCell ref="N3:R3"/>
    <mergeCell ref="N1:Q1"/>
    <mergeCell ref="A5:R5"/>
    <mergeCell ref="A7:A10"/>
    <mergeCell ref="B7:N7"/>
    <mergeCell ref="Q7:Q10"/>
    <mergeCell ref="R7:R10"/>
    <mergeCell ref="I9:J9"/>
    <mergeCell ref="K9:K10"/>
    <mergeCell ref="H9:H10"/>
    <mergeCell ref="T7:T10"/>
    <mergeCell ref="F8:M8"/>
    <mergeCell ref="N8:N10"/>
    <mergeCell ref="F9:F10"/>
    <mergeCell ref="L9:L10"/>
    <mergeCell ref="G9:G10"/>
    <mergeCell ref="O7:O10"/>
    <mergeCell ref="P7:P10"/>
    <mergeCell ref="M9:M10"/>
    <mergeCell ref="B8:B10"/>
    <mergeCell ref="C8:C10"/>
    <mergeCell ref="D8:D10"/>
    <mergeCell ref="E8:E10"/>
  </mergeCells>
  <printOptions/>
  <pageMargins left="0.49" right="0.2" top="0.29" bottom="0.22" header="0.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yacenko</cp:lastModifiedBy>
  <cp:lastPrinted>2004-05-13T06:59:52Z</cp:lastPrinted>
  <dcterms:created xsi:type="dcterms:W3CDTF">2003-12-10T21:35:36Z</dcterms:created>
  <dcterms:modified xsi:type="dcterms:W3CDTF">2004-05-13T14:02:09Z</dcterms:modified>
  <cp:category/>
  <cp:version/>
  <cp:contentType/>
  <cp:contentStatus/>
</cp:coreProperties>
</file>